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Декабрь 2021" sheetId="14" r:id="rId1"/>
    <sheet name="2 квартал 2020" sheetId="10" state="hidden" r:id="rId2"/>
    <sheet name="3 квартал 2020" sheetId="1" state="hidden" r:id="rId3"/>
    <sheet name="4 квартал 2020" sheetId="12" state="hidden" r:id="rId4"/>
  </sheets>
  <calcPr calcId="152511"/>
</workbook>
</file>

<file path=xl/calcChain.xml><?xml version="1.0" encoding="utf-8"?>
<calcChain xmlns="http://schemas.openxmlformats.org/spreadsheetml/2006/main">
  <c r="I70" i="14" l="1"/>
  <c r="I69" i="14"/>
  <c r="I68" i="14"/>
  <c r="I67" i="14"/>
  <c r="I66" i="14" l="1"/>
  <c r="I65" i="14"/>
  <c r="I64" i="14"/>
  <c r="I63" i="14"/>
  <c r="I62" i="14"/>
  <c r="I61" i="14"/>
  <c r="I55" i="14"/>
  <c r="I58" i="14"/>
  <c r="I57" i="14"/>
  <c r="I56" i="14"/>
  <c r="I54" i="14" l="1"/>
  <c r="I53" i="14"/>
  <c r="I52" i="14"/>
  <c r="I50" i="14"/>
  <c r="I51" i="14"/>
  <c r="I49" i="14"/>
  <c r="I47" i="14"/>
  <c r="I45" i="14"/>
  <c r="I46" i="14"/>
  <c r="I44" i="14"/>
  <c r="I43" i="14"/>
  <c r="I40" i="14"/>
  <c r="I41" i="14"/>
  <c r="I42" i="14"/>
  <c r="I38" i="14"/>
  <c r="I39" i="14"/>
  <c r="I36" i="14"/>
  <c r="I35" i="14"/>
  <c r="I34" i="14"/>
  <c r="I33" i="14"/>
  <c r="I32" i="14"/>
  <c r="I31" i="14"/>
  <c r="I30" i="14"/>
  <c r="I37" i="14"/>
  <c r="I28" i="14"/>
  <c r="I27" i="14"/>
  <c r="I26" i="14"/>
  <c r="I25" i="14"/>
  <c r="I24" i="14"/>
  <c r="I23" i="14"/>
  <c r="I22" i="14"/>
  <c r="I20" i="14"/>
  <c r="I60" i="14"/>
  <c r="I29" i="14"/>
  <c r="I21" i="14"/>
  <c r="I19" i="14"/>
  <c r="I18" i="14"/>
  <c r="I16" i="14"/>
  <c r="I14" i="14"/>
  <c r="I15" i="14"/>
  <c r="I17" i="14"/>
  <c r="I13" i="14"/>
  <c r="I72" i="14"/>
  <c r="I71" i="14"/>
  <c r="I59" i="14"/>
  <c r="I12" i="14"/>
  <c r="I11" i="14"/>
  <c r="I10" i="14"/>
  <c r="I9" i="14" l="1"/>
  <c r="I73" i="14" l="1"/>
  <c r="A9" i="1" l="1"/>
  <c r="A10" i="1" s="1"/>
  <c r="A9" i="10"/>
  <c r="A10" i="10" s="1"/>
  <c r="H11" i="10" l="1"/>
  <c r="H11" i="1" l="1"/>
  <c r="H11" i="12" l="1"/>
  <c r="A9" i="12" l="1"/>
  <c r="A10" i="12" s="1"/>
</calcChain>
</file>

<file path=xl/sharedStrings.xml><?xml version="1.0" encoding="utf-8"?>
<sst xmlns="http://schemas.openxmlformats.org/spreadsheetml/2006/main" count="496" uniqueCount="266">
  <si>
    <t>Наименование филиала</t>
  </si>
  <si>
    <t>Субъект РФ</t>
  </si>
  <si>
    <t>Территориальная зона (Муниципальное образование, район)</t>
  </si>
  <si>
    <t>Наименование объекта электросетевого хозяйства</t>
  </si>
  <si>
    <t>№ п/п</t>
  </si>
  <si>
    <t>Дата и время отключения объекта (московское)</t>
  </si>
  <si>
    <t>Дата и время ввода объекта в работу (московское)</t>
  </si>
  <si>
    <t>Примечание</t>
  </si>
  <si>
    <t>Объем недопоставленной электрической энергии, кВт*час</t>
  </si>
  <si>
    <t>ИТОГО:</t>
  </si>
  <si>
    <t>Сведения об объеме недопоставленной в результате аварийных отключений электрической энергии
на объектах ООО "Газпром энерго"</t>
  </si>
  <si>
    <r>
      <t xml:space="preserve">за </t>
    </r>
    <r>
      <rPr>
        <b/>
        <u/>
        <sz val="14"/>
        <color theme="1"/>
        <rFont val="Times New Roman"/>
        <family val="1"/>
        <charset val="204"/>
      </rPr>
      <t>_2_</t>
    </r>
    <r>
      <rPr>
        <b/>
        <sz val="14"/>
        <color theme="1"/>
        <rFont val="Times New Roman"/>
        <family val="1"/>
        <charset val="204"/>
      </rPr>
      <t xml:space="preserve"> квартал 20___ года</t>
    </r>
  </si>
  <si>
    <r>
      <t xml:space="preserve">за </t>
    </r>
    <r>
      <rPr>
        <b/>
        <u/>
        <sz val="14"/>
        <color theme="1"/>
        <rFont val="Times New Roman"/>
        <family val="1"/>
        <charset val="204"/>
      </rPr>
      <t>_3_</t>
    </r>
    <r>
      <rPr>
        <b/>
        <sz val="14"/>
        <color theme="1"/>
        <rFont val="Times New Roman"/>
        <family val="1"/>
        <charset val="204"/>
      </rPr>
      <t xml:space="preserve"> квартал 20___ года</t>
    </r>
  </si>
  <si>
    <r>
      <t xml:space="preserve">за </t>
    </r>
    <r>
      <rPr>
        <b/>
        <u/>
        <sz val="14"/>
        <color theme="1"/>
        <rFont val="Times New Roman"/>
        <family val="1"/>
        <charset val="204"/>
      </rPr>
      <t>_4_</t>
    </r>
    <r>
      <rPr>
        <b/>
        <sz val="14"/>
        <color theme="1"/>
        <rFont val="Times New Roman"/>
        <family val="1"/>
        <charset val="204"/>
      </rPr>
      <t xml:space="preserve"> квартал 20___ года</t>
    </r>
  </si>
  <si>
    <t>Республика Башкортостан</t>
  </si>
  <si>
    <t>Сведения об объеме недопоставленной в результате аварийных отключений электрической энергии
на объектах ГУП "Региональные электрические сети" РБ</t>
  </si>
  <si>
    <t>ГУП РЭС ПО ЦЭС</t>
  </si>
  <si>
    <t>Кудеевка</t>
  </si>
  <si>
    <t xml:space="preserve">ВЛ-10кВ Ф-7 ПС Кудеевка </t>
  </si>
  <si>
    <t>01.12.2021
11 ч 01 мин</t>
  </si>
  <si>
    <t>01.12.2021
14 ч 53 мин</t>
  </si>
  <si>
    <t>Улу Теляк</t>
  </si>
  <si>
    <t xml:space="preserve">ВЛ-10кВ Ф-Жил Поселок РП-БКЗ </t>
  </si>
  <si>
    <t>01.12.2021
16 ч 43 мин</t>
  </si>
  <si>
    <t xml:space="preserve">н.п.Зубово </t>
  </si>
  <si>
    <t xml:space="preserve">ВЛ-0,4кВ Л-4 ТП-4302 </t>
  </si>
  <si>
    <t>04.12.2021
14 ч 43 мин</t>
  </si>
  <si>
    <t>04.12.2021
16 ч 49 мин</t>
  </si>
  <si>
    <t>ВЛ-0,4кВ Л-3 ТП-9</t>
  </si>
  <si>
    <t>04.12.2021
17 ч 09 мин</t>
  </si>
  <si>
    <t>04.12.2021
20 ч 45 мин</t>
  </si>
  <si>
    <t>ВЛ-0,4кВ Л-3 ТП-22</t>
  </si>
  <si>
    <t>04.12.2021
18 ч 29 мин</t>
  </si>
  <si>
    <t>05.12.2021
02 ч 02 мин</t>
  </si>
  <si>
    <t xml:space="preserve">н.п.Иглино </t>
  </si>
  <si>
    <t>ВЛ-10кВ Ф-8 ПС Иглино Тяга</t>
  </si>
  <si>
    <t>04.12.2021
18 ч 34 мин</t>
  </si>
  <si>
    <t xml:space="preserve">ВЛ-10кВ Ф-4 ПС Улу Теляк </t>
  </si>
  <si>
    <t>05.12.2021
17 ч 05 мин</t>
  </si>
  <si>
    <t>05.12.2021
18 ч 33 мин</t>
  </si>
  <si>
    <t>ВЛ-0,4кВ Л-2 ТП-9080</t>
  </si>
  <si>
    <t>07.12.2021
11 ч 26 мин</t>
  </si>
  <si>
    <t>07.12.2021
13 ч 55 мин</t>
  </si>
  <si>
    <t>ВЛ-0,4кВ Л-1 ТП-10</t>
  </si>
  <si>
    <t>07.12.2021
16 ч 42 мин</t>
  </si>
  <si>
    <t>07.12.2021
17 ч 27 мин</t>
  </si>
  <si>
    <t xml:space="preserve">н.п. Иглино </t>
  </si>
  <si>
    <t xml:space="preserve">ВЛ-10кВ СМВ-1 Ф-8 ПС Лобово-Минзитарово </t>
  </si>
  <si>
    <t>07.12.2021
17 ч 07 мин</t>
  </si>
  <si>
    <t>07.12.2021
19 ч 00 мин</t>
  </si>
  <si>
    <t>ВЛ-0,4кВ Л-2 ТП-15Г</t>
  </si>
  <si>
    <t>07.12.2021
19 ч 40 мин</t>
  </si>
  <si>
    <t>07.12.2021
20 ч 30 мин</t>
  </si>
  <si>
    <t>ВЛ-0,4кВ Л-2 ТП-4985</t>
  </si>
  <si>
    <t>07.12.2021
20 ч 10 мин</t>
  </si>
  <si>
    <t>08.12.2021
01 ч 23 мин</t>
  </si>
  <si>
    <t>ВЛ-0,4кВ Л-2 ТП-52</t>
  </si>
  <si>
    <t>08.12.2021
02 ч 15 мин</t>
  </si>
  <si>
    <t>08.12.2021
04 ч 00 мин</t>
  </si>
  <si>
    <t>ВЛ-0,4кВ Л-6 ТП-25</t>
  </si>
  <si>
    <t>08.12.2021
06 ч 30 мин</t>
  </si>
  <si>
    <t>08.12.2021
07 ч 50 мин</t>
  </si>
  <si>
    <t>н.п.Нагаево</t>
  </si>
  <si>
    <t>ТП-9246 РУ-0,4кВ</t>
  </si>
  <si>
    <t>08.12.2021
17 ч 10 мин</t>
  </si>
  <si>
    <t>08.12.2021
18 ч 35 мин</t>
  </si>
  <si>
    <t>ВЛ-0,4кВ Л-5 ТП-9999</t>
  </si>
  <si>
    <t>08.12.2021
21 ч 30 мин</t>
  </si>
  <si>
    <t>08.12.2021
22 ч 08 мин</t>
  </si>
  <si>
    <t>09.12.2021
00 ч 07 мин</t>
  </si>
  <si>
    <t>09.12.2021
01 ч 34 мин</t>
  </si>
  <si>
    <t>ВЛ-0,4кВ Л-2 ТП-01696</t>
  </si>
  <si>
    <t>09.12.2021
18 ч 25 мин</t>
  </si>
  <si>
    <t>09.12.2021
19 ч 23 мин</t>
  </si>
  <si>
    <t>09.12.2021
19 ч 33 мин</t>
  </si>
  <si>
    <t>09.12.2021
19 ч 53 мин</t>
  </si>
  <si>
    <t>09.12.2021
21 ч 20 мин</t>
  </si>
  <si>
    <t>09.12.2021
22 ч 54 мин</t>
  </si>
  <si>
    <t>10.12.2021
04 ч 00 мин</t>
  </si>
  <si>
    <t>10.12.2021
17 ч 33 мин</t>
  </si>
  <si>
    <t>ВЛ-0,4кВ Л-2 ТП-91</t>
  </si>
  <si>
    <t>12.12.2021
12 ч 03 мин</t>
  </si>
  <si>
    <t>12.12.2021
13 ч 46 мин</t>
  </si>
  <si>
    <t>ВЛ-0,4кВ Л-2 ТП-9959</t>
  </si>
  <si>
    <t>12.12.2021
19 ч 15 мин</t>
  </si>
  <si>
    <t>12.12.2021
21 ч 50 мин</t>
  </si>
  <si>
    <t>12.12.2021
20 ч 45 мин</t>
  </si>
  <si>
    <t>12.12.2021
22 ч 07 мин</t>
  </si>
  <si>
    <t xml:space="preserve">ВЛ-0,4кВ Л-2 ТП-4 </t>
  </si>
  <si>
    <t>13.12.2021
20 ч 00 мин</t>
  </si>
  <si>
    <t>14.12.2021
02 ч 16 мин</t>
  </si>
  <si>
    <t>ВЛ-0,4кВ Л-2 ТП-9332</t>
  </si>
  <si>
    <t>13.12.2021
23 ч 05 мин</t>
  </si>
  <si>
    <t>ВЛ-0,4кВ Л-2 ТП-121</t>
  </si>
  <si>
    <t>15.12.2021
20 ч 00 мин</t>
  </si>
  <si>
    <t>15.12.2021
23 ч 25 мин</t>
  </si>
  <si>
    <t xml:space="preserve">ВЛ-0,4кВ Л-3 ТП-4 </t>
  </si>
  <si>
    <t>17.12.2021
18 ч 33 мин</t>
  </si>
  <si>
    <t>17.12.2021
21 ч 22 мин</t>
  </si>
  <si>
    <t>19.12.2021
23 ч 35 мин</t>
  </si>
  <si>
    <t>20.12.2021
00 ч 35 мин</t>
  </si>
  <si>
    <t>ВЛ-10кВ  Ф-8 ПС Иглино Тяга</t>
  </si>
  <si>
    <t>20.12.2021
13 ч 33 мин</t>
  </si>
  <si>
    <t>20.12.2021
15 ч 55 мин</t>
  </si>
  <si>
    <t>ВЛ-10кВ  Ф-5 ПС Иглино Тяга</t>
  </si>
  <si>
    <t>20.12.2021
18ч 34 мин</t>
  </si>
  <si>
    <t>20.12.2021
18ч 36 мин</t>
  </si>
  <si>
    <t>21.12.2021
21ч 14 мин</t>
  </si>
  <si>
    <t xml:space="preserve">ВЛ-0,4кВ Л-2 ТП-91 </t>
  </si>
  <si>
    <t>22.12.2021
23ч 35 мин</t>
  </si>
  <si>
    <t>23.12.2021
01ч 35 мин</t>
  </si>
  <si>
    <t>Белорецкий район</t>
  </si>
  <si>
    <t>ВЛ-10кВ  Ф-11-24 ПС Авзян</t>
  </si>
  <si>
    <t>23.12.2021
15ч 10 мин</t>
  </si>
  <si>
    <t>23.12.2021
15ч 45 мин</t>
  </si>
  <si>
    <t>н.п.Кудеевка</t>
  </si>
  <si>
    <t xml:space="preserve">ВЛ-10кВ  Ф-7 ПС Кудеевка </t>
  </si>
  <si>
    <t>24.12.2021
16ч 08 мин</t>
  </si>
  <si>
    <t>24.12.2021
19ч 00 мин</t>
  </si>
  <si>
    <t xml:space="preserve">ВЛ-10кВ  Ф-Жил Поселок РП БКЗ </t>
  </si>
  <si>
    <t>24.12.2021
21ч 15 мин</t>
  </si>
  <si>
    <t>ВЛ-0,4кВ Л-5 ТП-01749</t>
  </si>
  <si>
    <t>25.12.2021
17ч 00 мин</t>
  </si>
  <si>
    <t>25.12.2021
21ч 32 мин</t>
  </si>
  <si>
    <t>25.12.2021
20ч 10 мин</t>
  </si>
  <si>
    <t>26.12.2021
00ч 52 мин</t>
  </si>
  <si>
    <t>ВЛ-0,4кВ Л-3 ТП-9080</t>
  </si>
  <si>
    <t>25.12.2021
20ч 15 мин</t>
  </si>
  <si>
    <t>26.12.2021
01ч 25 мин</t>
  </si>
  <si>
    <t>25.12.2021
20ч 17 мин</t>
  </si>
  <si>
    <t>25.12.2021
23ч 01 мин</t>
  </si>
  <si>
    <t>25.12.2021
22ч 15 мин</t>
  </si>
  <si>
    <t>26.12.2021
00ч 13 мин</t>
  </si>
  <si>
    <t>26.12.2021
01ч 28 мин</t>
  </si>
  <si>
    <t>26.12.2021
02ч 25 мин</t>
  </si>
  <si>
    <t>ВЛ-0,4кВ Л-1 ТП-62</t>
  </si>
  <si>
    <t>26.12.2021
03ч 40 мин</t>
  </si>
  <si>
    <t>26.12.2021
05ч 19 мин</t>
  </si>
  <si>
    <t>ВЛ-0,4кВ Л-2 ТП-6</t>
  </si>
  <si>
    <t>26.12.2021
03ч 55 мин</t>
  </si>
  <si>
    <t>26.12.2021
04ч 47 мин</t>
  </si>
  <si>
    <t xml:space="preserve">ВЛ-0,4кВ Л-3 ТП-4302 </t>
  </si>
  <si>
    <t>26.12.2021
06ч 10 мин</t>
  </si>
  <si>
    <t>26.12.2021
09ч 10 мин</t>
  </si>
  <si>
    <t>ВЛ-0,4кВ Л-1 ТП-6Г</t>
  </si>
  <si>
    <t>26.12.2021
09ч 30 мин</t>
  </si>
  <si>
    <t>26.12.2021
12ч 08 мин</t>
  </si>
  <si>
    <t>26.12.2021
10ч 20 мин</t>
  </si>
  <si>
    <t>26.12.2021
13ч 44 мин</t>
  </si>
  <si>
    <t>н.п.Тавтиманово</t>
  </si>
  <si>
    <t>ВЛ-0,4кВ Л-2 ТП-45</t>
  </si>
  <si>
    <t>26.12.2021
10ч 30 мин</t>
  </si>
  <si>
    <t>26.12.2021
13ч 02 мин</t>
  </si>
  <si>
    <t>ВЛ-0,4кВ Л-2 ТП-4321</t>
  </si>
  <si>
    <t>26.12.2021
11ч 00 мин</t>
  </si>
  <si>
    <t>26.12.2021
16ч 00 мин</t>
  </si>
  <si>
    <t>26.12.2021
12ч 04 мин</t>
  </si>
  <si>
    <t>26.12.2021
13ч 42 мин</t>
  </si>
  <si>
    <t>26.12.2021
14ч 07 мин</t>
  </si>
  <si>
    <t>ВЛ-0,4кВ Л-3 ТП-9246</t>
  </si>
  <si>
    <t>26.12.2021
17ч 00 мин</t>
  </si>
  <si>
    <t>26.12.2021
21ч 45 мин</t>
  </si>
  <si>
    <t>ВЛ-0,4кВ Л-4 ТП-9999</t>
  </si>
  <si>
    <t>26.12.2021
18ч 00 мин</t>
  </si>
  <si>
    <t>26.12.2021
21ч 15 мин</t>
  </si>
  <si>
    <t>ВЛ-0,4кВ Л-4 ТП-9959</t>
  </si>
  <si>
    <t>26.12.2021
22ч 00 мин</t>
  </si>
  <si>
    <t>27.12.2021
04ч 55 мин</t>
  </si>
  <si>
    <t>27.12.2021
20ч 45 мин</t>
  </si>
  <si>
    <t>27.12.2021
21ч 43 мин</t>
  </si>
  <si>
    <t>28.12.2021
07ч 50 мин</t>
  </si>
  <si>
    <t>28.12.2021
12ч 32 мин</t>
  </si>
  <si>
    <t>29.12.2021
20ч 24 мин</t>
  </si>
  <si>
    <t>29.12.2021
21ч 38 мин</t>
  </si>
  <si>
    <t xml:space="preserve">Тавтиманово </t>
  </si>
  <si>
    <t>ВЛ-0,4кВ Л-2 ТП-18</t>
  </si>
  <si>
    <t>30.12.2021
06ч 45 мин</t>
  </si>
  <si>
    <t>30.12.2021
10ч 12 мин</t>
  </si>
  <si>
    <t>1Т ТП-96</t>
  </si>
  <si>
    <t>30.12.2021
22ч 05 мин</t>
  </si>
  <si>
    <t>30.12.2021
23ч 05 мин</t>
  </si>
  <si>
    <t xml:space="preserve">ВЛ-0,4кВ Л-1 ТП-9959 </t>
  </si>
  <si>
    <t>31.12.2021
09ч 24 мин</t>
  </si>
  <si>
    <t>31.12.2021
11ч 13 мин</t>
  </si>
  <si>
    <t xml:space="preserve">ВЛ-0,4кВ Л-3 ТП-9999 </t>
  </si>
  <si>
    <t>31.12.2021
09ч 49 мин</t>
  </si>
  <si>
    <t>31.12.2021
11ч 06 мин</t>
  </si>
  <si>
    <t xml:space="preserve">ВЛ-0,4кВ Л-3 ТП-3 </t>
  </si>
  <si>
    <t>31.12.2021
15ч 26 мин</t>
  </si>
  <si>
    <t>31.12.2021
16ч 41 мин</t>
  </si>
  <si>
    <t>ВЛ-0,4кВ Л-2 ТП-9897</t>
  </si>
  <si>
    <t>31.12.2021
16ч 19 мин</t>
  </si>
  <si>
    <t>31.12.2021
18ч 32 мин</t>
  </si>
  <si>
    <t>31.12.2021
19ч 20 мин</t>
  </si>
  <si>
    <t>31.12.2021
20ч 00 мин</t>
  </si>
  <si>
    <t>за декабрь 2021 года</t>
  </si>
  <si>
    <t xml:space="preserve">                                            н.п. Шамонино</t>
  </si>
  <si>
    <t>н.п. Иглино</t>
  </si>
  <si>
    <t xml:space="preserve">ВЛ-0,4кВ Л-4 ТП-60 </t>
  </si>
  <si>
    <t>н.п. Преображенский</t>
  </si>
  <si>
    <t>н.п.Шамонино</t>
  </si>
  <si>
    <t>Благовещенский район</t>
  </si>
  <si>
    <t>Иглинский район</t>
  </si>
  <si>
    <t>н.п. Тавтиманово</t>
  </si>
  <si>
    <t>н.п. Чесноковка</t>
  </si>
  <si>
    <r>
      <rPr>
        <sz val="11"/>
        <rFont val="Times New Roman"/>
        <family val="1"/>
        <charset val="204"/>
      </rPr>
      <t>РУ-0,4кВ</t>
    </r>
    <r>
      <rPr>
        <sz val="11"/>
        <color theme="1"/>
        <rFont val="Times New Roman"/>
        <family val="1"/>
        <charset val="204"/>
      </rPr>
      <t xml:space="preserve"> ТП-9246 1Т</t>
    </r>
  </si>
  <si>
    <t>1 Т РУ-0,4 кВ ТП-9950</t>
  </si>
  <si>
    <t>Вл-10кВ Ф-58 ПС 35кВ Бедеева Поляна</t>
  </si>
  <si>
    <t>с. Санатория Алкино</t>
  </si>
  <si>
    <t>ТП-4302 отключился АВ-0,4 Л-4</t>
  </si>
  <si>
    <t>04.12.2021
19 ч 40 мин</t>
  </si>
  <si>
    <t>Отключился Ф-8 РПВ успешное.</t>
  </si>
  <si>
    <t>Стороняя организация отключила РС-67</t>
  </si>
  <si>
    <t>ВЛ-0,4кВ Л-3 ТП-9 - обрыв провода</t>
  </si>
  <si>
    <t xml:space="preserve"> ТП-22 отключился АВ-0,4кВ Л-3</t>
  </si>
  <si>
    <t>Повреждение на участке ИглРЭС</t>
  </si>
  <si>
    <t>ТП - 9080 отключился АВ-0,34, - изменили уставку</t>
  </si>
  <si>
    <t>ТП-10 АВ-0,4 Л-1 отключен, обрыв на ВЛ, ул. Ленина 213</t>
  </si>
  <si>
    <t xml:space="preserve">РПВ-успешное, горит нож на РТП-209 на балансе Игл.сетевой компании. </t>
  </si>
  <si>
    <t>ТП-15Г АВ-0,4 кВ Л-2 отключен автомат , перегруз в сети.</t>
  </si>
  <si>
    <t>Обрыв провода на ул. Акбердинская 1</t>
  </si>
  <si>
    <t>ТП-52 АВ-0,4 кВ Л-2 отключен АВ</t>
  </si>
  <si>
    <t>ТП-25 АВ-0,4 Л6- отключен АВ</t>
  </si>
  <si>
    <t>ТП-9246 отключение АВ-0,4 1Т неправильное распределение нагрузки</t>
  </si>
  <si>
    <t>ТП-52 отключение АВ-0,4 кВ Л-2</t>
  </si>
  <si>
    <t>ТП-01696 отключение АВ-0,4 кВ Л-2</t>
  </si>
  <si>
    <t>Повреждение КЛ-10 кВ от РТП-01293-ТП-01293 н-А,Б в работе на балансе ГУП РЭС РБ</t>
  </si>
  <si>
    <t>ТП-91 аварино отключился АВ-0,4 кВ Л-2</t>
  </si>
  <si>
    <t>Отгорел прокол на опоре №1 ВЛ-0,4 Л-2 ТП-9959.</t>
  </si>
  <si>
    <t>Нагрев выхода СИП с ТП-60 на опору №1</t>
  </si>
  <si>
    <t>ТП-9999 отключение АВ-0,4 Л-5</t>
  </si>
  <si>
    <t>ТП-4 отключение АВ-0,4 Л-2</t>
  </si>
  <si>
    <t>ТП-9332 отключение АВ-0,4 Л-2</t>
  </si>
  <si>
    <t>ТП-4 отключение АВ-0,4 Л-4</t>
  </si>
  <si>
    <t xml:space="preserve">автомобиль сбил опору </t>
  </si>
  <si>
    <t>На время отключения РТП-74 из-за повреждения в РУ-0,4</t>
  </si>
  <si>
    <t>Повреждение на потребительской ТП-042 (ООО РГМ)</t>
  </si>
  <si>
    <t>Повреждение на ВЛ-10 кВ на балансе ГУП РЭС</t>
  </si>
  <si>
    <t>21.12.2021
22ч 14 мин</t>
  </si>
  <si>
    <t xml:space="preserve">н.п.Санаторий Алкино </t>
  </si>
  <si>
    <t>ТП-4 аварийно отключился АВ-0,4 кВ Л-3</t>
  </si>
  <si>
    <t>плохой контакт на О в ТП-91 по ВЛ-0,4 Л-2</t>
  </si>
  <si>
    <t>Повреждение в сетях БКЗ</t>
  </si>
  <si>
    <t>ТП-9999 аварийно отключился АВ-0,4 кВ Л-5</t>
  </si>
  <si>
    <t>ТП-01749 аварийно отключился АВ-0,4 кВ Л-5</t>
  </si>
  <si>
    <t>Отгорела шина к АВ-0,4 Л-2 от секции шин 0,4 кВ</t>
  </si>
  <si>
    <t>Сгорел ПН-2 на Р-0,4 1Т</t>
  </si>
  <si>
    <t>Отключился АВ-0,4 1Т</t>
  </si>
  <si>
    <t>Схлест на ВЛ-0,4 Л-2 ТП-6</t>
  </si>
  <si>
    <t>Отключился АВ-0,4 Л-2</t>
  </si>
  <si>
    <t>Отключился АВ-0,4 Л-1</t>
  </si>
  <si>
    <t>Отключтлся АВ-0,4 Л-3</t>
  </si>
  <si>
    <t>ТП-9080 аварийно отключился АВ-0,4 кВ Л-3</t>
  </si>
  <si>
    <t>ТП-45 аварийно отключился АВ-0,4 кВ Л-2</t>
  </si>
  <si>
    <t>ТП-4321 аварийно отключился АВ-0,4 кВ Л-2</t>
  </si>
  <si>
    <t>ТП-4302 аварийно отключился АВ-0,4 кВ Л-3</t>
  </si>
  <si>
    <t>ТП-6Г аварийно отключился АВ-0,4 кВ Л-1 причина схлест</t>
  </si>
  <si>
    <t>Причина не обнаружена</t>
  </si>
  <si>
    <t>ТП-9246 аварийно отключился АВ-0,4 кВ Л-3</t>
  </si>
  <si>
    <t>ТП-9999 аварийно отключился АВ-0,4 кВ Л-4</t>
  </si>
  <si>
    <t>ТП-91 аварийно отключился АВ-0,4 кВ Л-2</t>
  </si>
  <si>
    <t>ТП-18 аварийно отключился АВ-0,4 кВ Л-2</t>
  </si>
  <si>
    <t>Перекрытие в РУ-0,4 ТП-9999</t>
  </si>
  <si>
    <t>Повреждение в камере 1Т</t>
  </si>
  <si>
    <t>Переопрессовали наконечник в ТП</t>
  </si>
  <si>
    <t>ТП-9959 аварийно отключился АВ-0,4 кВ Л-1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</si>
</sst>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6" fillId="3" borderId="6" xfId="0" applyFont="1" applyFill="1" applyBorder="1" applyAlignment="1" applyProtection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6" fillId="3" borderId="2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vertical="top" wrapText="1"/>
    </xf>
    <xf numFmtId="0" fontId="6" fillId="3" borderId="15" xfId="0" applyFont="1" applyFill="1" applyBorder="1" applyAlignment="1" applyProtection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 applyProtection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3"/>
  <sheetViews>
    <sheetView tabSelected="1" topLeftCell="A58" workbookViewId="0">
      <selection activeCell="M67" sqref="M67"/>
    </sheetView>
  </sheetViews>
  <sheetFormatPr defaultColWidth="9.140625" defaultRowHeight="15" x14ac:dyDescent="0.25"/>
  <cols>
    <col min="1" max="1" width="9.140625" style="43"/>
    <col min="2" max="2" width="5.5703125" style="43" customWidth="1"/>
    <col min="3" max="3" width="13.7109375" style="43" customWidth="1"/>
    <col min="4" max="4" width="15.5703125" style="43" customWidth="1"/>
    <col min="5" max="5" width="21.85546875" style="43" customWidth="1"/>
    <col min="6" max="6" width="29" style="43" customWidth="1"/>
    <col min="7" max="7" width="17" style="43" customWidth="1"/>
    <col min="8" max="8" width="16.85546875" style="43" customWidth="1"/>
    <col min="9" max="9" width="17.7109375" style="43" customWidth="1"/>
    <col min="10" max="10" width="27.28515625" style="43" customWidth="1"/>
    <col min="11" max="11" width="17.7109375" style="43" customWidth="1"/>
    <col min="12" max="12" width="17.140625" style="43" customWidth="1"/>
    <col min="13" max="13" width="17" style="43" customWidth="1"/>
    <col min="14" max="14" width="16.5703125" style="43" customWidth="1"/>
    <col min="15" max="15" width="60.85546875" style="43" customWidth="1"/>
    <col min="16" max="16" width="15.5703125" style="43" customWidth="1"/>
    <col min="17" max="16384" width="9.140625" style="43"/>
  </cols>
  <sheetData>
    <row r="2" spans="2:16" x14ac:dyDescent="0.25">
      <c r="I2" s="93"/>
      <c r="J2" s="93"/>
    </row>
    <row r="3" spans="2:16" ht="12.75" customHeight="1" x14ac:dyDescent="0.25">
      <c r="I3" s="93"/>
      <c r="J3" s="93"/>
    </row>
    <row r="4" spans="2:16" ht="42.75" customHeight="1" x14ac:dyDescent="0.25">
      <c r="B4" s="94" t="s">
        <v>15</v>
      </c>
      <c r="C4" s="94"/>
      <c r="D4" s="94"/>
      <c r="E4" s="94"/>
      <c r="F4" s="94"/>
      <c r="G4" s="94"/>
      <c r="H4" s="94"/>
      <c r="I4" s="94"/>
      <c r="J4" s="94"/>
      <c r="K4" s="2"/>
      <c r="L4" s="2"/>
      <c r="M4" s="2"/>
      <c r="N4" s="2"/>
      <c r="O4" s="2"/>
      <c r="P4" s="2"/>
    </row>
    <row r="5" spans="2:16" ht="21.75" customHeight="1" x14ac:dyDescent="0.25">
      <c r="B5" s="44"/>
      <c r="C5" s="44"/>
      <c r="D5" s="44"/>
      <c r="E5" s="94" t="s">
        <v>195</v>
      </c>
      <c r="F5" s="94"/>
      <c r="G5" s="94"/>
      <c r="H5" s="44"/>
      <c r="I5" s="44"/>
      <c r="J5" s="44"/>
      <c r="K5" s="2"/>
      <c r="L5" s="2"/>
      <c r="M5" s="2"/>
      <c r="N5" s="2"/>
      <c r="O5" s="2"/>
      <c r="P5" s="2"/>
    </row>
    <row r="6" spans="2:16" ht="15.75" customHeight="1" thickBot="1" x14ac:dyDescent="0.3"/>
    <row r="7" spans="2:16" ht="15.75" customHeight="1" thickBot="1" x14ac:dyDescent="0.3">
      <c r="B7" s="95" t="s">
        <v>4</v>
      </c>
      <c r="C7" s="95" t="s">
        <v>0</v>
      </c>
      <c r="D7" s="95" t="s">
        <v>1</v>
      </c>
      <c r="E7" s="95" t="s">
        <v>2</v>
      </c>
      <c r="F7" s="95" t="s">
        <v>3</v>
      </c>
      <c r="G7" s="95" t="s">
        <v>5</v>
      </c>
      <c r="H7" s="95" t="s">
        <v>6</v>
      </c>
      <c r="I7" s="95" t="s">
        <v>8</v>
      </c>
      <c r="J7" s="95" t="s">
        <v>7</v>
      </c>
    </row>
    <row r="8" spans="2:16" ht="51.75" customHeight="1" thickBot="1" x14ac:dyDescent="0.3">
      <c r="B8" s="95"/>
      <c r="C8" s="95"/>
      <c r="D8" s="95"/>
      <c r="E8" s="95"/>
      <c r="F8" s="95"/>
      <c r="G8" s="96"/>
      <c r="H8" s="95"/>
      <c r="I8" s="96"/>
      <c r="J8" s="96"/>
    </row>
    <row r="9" spans="2:16" s="49" customFormat="1" ht="30.75" thickBot="1" x14ac:dyDescent="0.3">
      <c r="B9" s="35">
        <v>1</v>
      </c>
      <c r="C9" s="51" t="s">
        <v>16</v>
      </c>
      <c r="D9" s="60" t="s">
        <v>14</v>
      </c>
      <c r="E9" s="61" t="s">
        <v>17</v>
      </c>
      <c r="F9" s="62" t="s">
        <v>18</v>
      </c>
      <c r="G9" s="63" t="s">
        <v>19</v>
      </c>
      <c r="H9" s="55" t="s">
        <v>20</v>
      </c>
      <c r="I9" s="90">
        <f>1.73*10*10*(52/60+3)</f>
        <v>668.93333333333339</v>
      </c>
      <c r="J9" s="50" t="s">
        <v>212</v>
      </c>
    </row>
    <row r="10" spans="2:16" s="49" customFormat="1" ht="30.75" thickBot="1" x14ac:dyDescent="0.3">
      <c r="B10" s="35">
        <v>2</v>
      </c>
      <c r="C10" s="64" t="s">
        <v>16</v>
      </c>
      <c r="D10" s="65" t="s">
        <v>14</v>
      </c>
      <c r="E10" s="66" t="s">
        <v>21</v>
      </c>
      <c r="F10" s="67" t="s">
        <v>22</v>
      </c>
      <c r="G10" s="46" t="s">
        <v>19</v>
      </c>
      <c r="H10" s="68" t="s">
        <v>23</v>
      </c>
      <c r="I10" s="90">
        <f>1.73*10*40*(52/60+3)</f>
        <v>2675.7333333333336</v>
      </c>
      <c r="J10" s="53" t="s">
        <v>212</v>
      </c>
    </row>
    <row r="11" spans="2:16" s="49" customFormat="1" ht="30.75" thickBot="1" x14ac:dyDescent="0.3">
      <c r="B11" s="35">
        <v>3</v>
      </c>
      <c r="C11" s="69" t="s">
        <v>16</v>
      </c>
      <c r="D11" s="70" t="s">
        <v>14</v>
      </c>
      <c r="E11" s="71" t="s">
        <v>24</v>
      </c>
      <c r="F11" s="72" t="s">
        <v>25</v>
      </c>
      <c r="G11" s="73" t="s">
        <v>26</v>
      </c>
      <c r="H11" s="55" t="s">
        <v>27</v>
      </c>
      <c r="I11" s="90">
        <f>1.73*150*0.4*(6/60+2)</f>
        <v>217.98000000000005</v>
      </c>
      <c r="J11" s="50" t="s">
        <v>209</v>
      </c>
    </row>
    <row r="12" spans="2:16" s="49" customFormat="1" ht="30.75" thickBot="1" x14ac:dyDescent="0.3">
      <c r="B12" s="35">
        <v>4</v>
      </c>
      <c r="C12" s="64" t="s">
        <v>16</v>
      </c>
      <c r="D12" s="74" t="s">
        <v>14</v>
      </c>
      <c r="E12" s="66" t="s">
        <v>197</v>
      </c>
      <c r="F12" s="67" t="s">
        <v>28</v>
      </c>
      <c r="G12" s="46" t="s">
        <v>29</v>
      </c>
      <c r="H12" s="68" t="s">
        <v>30</v>
      </c>
      <c r="I12" s="90">
        <f>1.73*180*0.4*(36/60+3)</f>
        <v>448.416</v>
      </c>
      <c r="J12" s="80" t="s">
        <v>213</v>
      </c>
    </row>
    <row r="13" spans="2:16" s="49" customFormat="1" ht="30.75" thickBot="1" x14ac:dyDescent="0.3">
      <c r="B13" s="35">
        <v>5</v>
      </c>
      <c r="C13" s="69" t="s">
        <v>16</v>
      </c>
      <c r="D13" s="75" t="s">
        <v>14</v>
      </c>
      <c r="E13" s="76" t="s">
        <v>203</v>
      </c>
      <c r="F13" s="72" t="s">
        <v>31</v>
      </c>
      <c r="G13" s="73" t="s">
        <v>32</v>
      </c>
      <c r="H13" s="55" t="s">
        <v>33</v>
      </c>
      <c r="I13" s="90">
        <f>1.73*0.4*90*(33/60+5)</f>
        <v>345.65400000000005</v>
      </c>
      <c r="J13" s="91" t="s">
        <v>214</v>
      </c>
    </row>
    <row r="14" spans="2:16" s="49" customFormat="1" ht="30.75" thickBot="1" x14ac:dyDescent="0.3">
      <c r="B14" s="35">
        <v>6</v>
      </c>
      <c r="C14" s="64" t="s">
        <v>16</v>
      </c>
      <c r="D14" s="74" t="s">
        <v>14</v>
      </c>
      <c r="E14" s="77" t="s">
        <v>34</v>
      </c>
      <c r="F14" s="78" t="s">
        <v>35</v>
      </c>
      <c r="G14" s="46" t="s">
        <v>36</v>
      </c>
      <c r="H14" s="68" t="s">
        <v>210</v>
      </c>
      <c r="I14" s="90">
        <f>1.73*10*200*(6/60+1)</f>
        <v>3806.0000000000005</v>
      </c>
      <c r="J14" s="50" t="s">
        <v>211</v>
      </c>
    </row>
    <row r="15" spans="2:16" s="49" customFormat="1" ht="30.75" thickBot="1" x14ac:dyDescent="0.3">
      <c r="B15" s="35">
        <v>7</v>
      </c>
      <c r="C15" s="69" t="s">
        <v>16</v>
      </c>
      <c r="D15" s="75" t="s">
        <v>14</v>
      </c>
      <c r="E15" s="76" t="s">
        <v>202</v>
      </c>
      <c r="F15" s="62" t="s">
        <v>37</v>
      </c>
      <c r="G15" s="73" t="s">
        <v>38</v>
      </c>
      <c r="H15" s="55" t="s">
        <v>39</v>
      </c>
      <c r="I15" s="90">
        <f>1.73*10*10*(27/60+1)</f>
        <v>250.85</v>
      </c>
      <c r="J15" s="50" t="s">
        <v>215</v>
      </c>
    </row>
    <row r="16" spans="2:16" s="49" customFormat="1" ht="30.75" thickBot="1" x14ac:dyDescent="0.3">
      <c r="B16" s="35">
        <v>8</v>
      </c>
      <c r="C16" s="64" t="s">
        <v>16</v>
      </c>
      <c r="D16" s="74" t="s">
        <v>14</v>
      </c>
      <c r="E16" s="79" t="s">
        <v>62</v>
      </c>
      <c r="F16" s="67" t="s">
        <v>40</v>
      </c>
      <c r="G16" s="46" t="s">
        <v>41</v>
      </c>
      <c r="H16" s="68" t="s">
        <v>42</v>
      </c>
      <c r="I16" s="90">
        <f t="shared" ref="I16:I17" si="0">1.73*0.4*90*(33/60+5)</f>
        <v>345.65400000000005</v>
      </c>
      <c r="J16" s="50" t="s">
        <v>216</v>
      </c>
    </row>
    <row r="17" spans="2:10" s="49" customFormat="1" ht="30.75" thickBot="1" x14ac:dyDescent="0.3">
      <c r="B17" s="35">
        <v>9</v>
      </c>
      <c r="C17" s="69" t="s">
        <v>16</v>
      </c>
      <c r="D17" s="75" t="s">
        <v>14</v>
      </c>
      <c r="E17" s="76" t="s">
        <v>197</v>
      </c>
      <c r="F17" s="62" t="s">
        <v>43</v>
      </c>
      <c r="G17" s="73" t="s">
        <v>44</v>
      </c>
      <c r="H17" s="55" t="s">
        <v>45</v>
      </c>
      <c r="I17" s="90">
        <f t="shared" si="0"/>
        <v>345.65400000000005</v>
      </c>
      <c r="J17" s="50" t="s">
        <v>217</v>
      </c>
    </row>
    <row r="18" spans="2:10" s="49" customFormat="1" ht="45.75" thickBot="1" x14ac:dyDescent="0.3">
      <c r="B18" s="35">
        <v>10</v>
      </c>
      <c r="C18" s="64" t="s">
        <v>16</v>
      </c>
      <c r="D18" s="74" t="s">
        <v>14</v>
      </c>
      <c r="E18" s="80" t="s">
        <v>46</v>
      </c>
      <c r="F18" s="67" t="s">
        <v>47</v>
      </c>
      <c r="G18" s="46" t="s">
        <v>48</v>
      </c>
      <c r="H18" s="68" t="s">
        <v>49</v>
      </c>
      <c r="I18" s="90">
        <f>1.73*10*70*(53/60+1)</f>
        <v>2280.7166666666667</v>
      </c>
      <c r="J18" s="50" t="s">
        <v>218</v>
      </c>
    </row>
    <row r="19" spans="2:10" s="49" customFormat="1" ht="45.75" thickBot="1" x14ac:dyDescent="0.3">
      <c r="B19" s="35">
        <v>11</v>
      </c>
      <c r="C19" s="69" t="s">
        <v>16</v>
      </c>
      <c r="D19" s="75" t="s">
        <v>14</v>
      </c>
      <c r="E19" s="76" t="s">
        <v>46</v>
      </c>
      <c r="F19" s="62" t="s">
        <v>50</v>
      </c>
      <c r="G19" s="73" t="s">
        <v>51</v>
      </c>
      <c r="H19" s="55" t="s">
        <v>52</v>
      </c>
      <c r="I19" s="90">
        <f>1.73*0.4*120*(50/60+0)</f>
        <v>69.2</v>
      </c>
      <c r="J19" s="50" t="s">
        <v>219</v>
      </c>
    </row>
    <row r="20" spans="2:10" s="49" customFormat="1" ht="30.75" thickBot="1" x14ac:dyDescent="0.3">
      <c r="B20" s="35">
        <v>12</v>
      </c>
      <c r="C20" s="64" t="s">
        <v>16</v>
      </c>
      <c r="D20" s="74" t="s">
        <v>14</v>
      </c>
      <c r="E20" s="80" t="s">
        <v>62</v>
      </c>
      <c r="F20" s="67" t="s">
        <v>53</v>
      </c>
      <c r="G20" s="46" t="s">
        <v>54</v>
      </c>
      <c r="H20" s="68" t="s">
        <v>55</v>
      </c>
      <c r="I20" s="90">
        <f>1.73*0.4*120*(33/60+5)</f>
        <v>460.87200000000001</v>
      </c>
      <c r="J20" s="50" t="s">
        <v>220</v>
      </c>
    </row>
    <row r="21" spans="2:10" s="49" customFormat="1" ht="30.75" thickBot="1" x14ac:dyDescent="0.3">
      <c r="B21" s="35">
        <v>13</v>
      </c>
      <c r="C21" s="69" t="s">
        <v>16</v>
      </c>
      <c r="D21" s="75" t="s">
        <v>14</v>
      </c>
      <c r="E21" s="76" t="s">
        <v>197</v>
      </c>
      <c r="F21" s="62" t="s">
        <v>56</v>
      </c>
      <c r="G21" s="73" t="s">
        <v>57</v>
      </c>
      <c r="H21" s="55" t="s">
        <v>58</v>
      </c>
      <c r="I21" s="90">
        <f t="shared" ref="I21:I29" si="1">1.73*0.4*120*(50/60+0)</f>
        <v>69.2</v>
      </c>
      <c r="J21" s="50" t="s">
        <v>221</v>
      </c>
    </row>
    <row r="22" spans="2:10" s="49" customFormat="1" ht="30.75" thickBot="1" x14ac:dyDescent="0.3">
      <c r="B22" s="35">
        <v>14</v>
      </c>
      <c r="C22" s="64" t="s">
        <v>16</v>
      </c>
      <c r="D22" s="74" t="s">
        <v>14</v>
      </c>
      <c r="E22" s="80" t="s">
        <v>197</v>
      </c>
      <c r="F22" s="67" t="s">
        <v>59</v>
      </c>
      <c r="G22" s="46" t="s">
        <v>60</v>
      </c>
      <c r="H22" s="68" t="s">
        <v>61</v>
      </c>
      <c r="I22" s="90">
        <f>1.73*0.4*120*(20/60+1)</f>
        <v>110.72</v>
      </c>
      <c r="J22" s="50" t="s">
        <v>222</v>
      </c>
    </row>
    <row r="23" spans="2:10" s="49" customFormat="1" ht="45.75" thickBot="1" x14ac:dyDescent="0.3">
      <c r="B23" s="35">
        <v>15</v>
      </c>
      <c r="C23" s="69" t="s">
        <v>16</v>
      </c>
      <c r="D23" s="75" t="s">
        <v>14</v>
      </c>
      <c r="E23" s="76" t="s">
        <v>62</v>
      </c>
      <c r="F23" s="62" t="s">
        <v>63</v>
      </c>
      <c r="G23" s="73" t="s">
        <v>64</v>
      </c>
      <c r="H23" s="55" t="s">
        <v>65</v>
      </c>
      <c r="I23" s="90">
        <f>1.73*0.4*400*(25/60+1)</f>
        <v>392.13333333333338</v>
      </c>
      <c r="J23" s="50" t="s">
        <v>223</v>
      </c>
    </row>
    <row r="24" spans="2:10" s="49" customFormat="1" ht="30.75" thickBot="1" x14ac:dyDescent="0.3">
      <c r="B24" s="35">
        <v>16</v>
      </c>
      <c r="C24" s="64" t="s">
        <v>16</v>
      </c>
      <c r="D24" s="74" t="s">
        <v>14</v>
      </c>
      <c r="E24" s="80" t="s">
        <v>62</v>
      </c>
      <c r="F24" s="67" t="s">
        <v>66</v>
      </c>
      <c r="G24" s="46" t="s">
        <v>67</v>
      </c>
      <c r="H24" s="68" t="s">
        <v>68</v>
      </c>
      <c r="I24" s="90">
        <f>1.73*0.4*120*(38/60+0)</f>
        <v>52.591999999999999</v>
      </c>
      <c r="J24" s="50" t="s">
        <v>230</v>
      </c>
    </row>
    <row r="25" spans="2:10" s="49" customFormat="1" ht="30.75" thickBot="1" x14ac:dyDescent="0.3">
      <c r="B25" s="35">
        <v>17</v>
      </c>
      <c r="C25" s="69" t="s">
        <v>16</v>
      </c>
      <c r="D25" s="75" t="s">
        <v>14</v>
      </c>
      <c r="E25" s="76" t="s">
        <v>34</v>
      </c>
      <c r="F25" s="62" t="s">
        <v>56</v>
      </c>
      <c r="G25" s="73" t="s">
        <v>69</v>
      </c>
      <c r="H25" s="55" t="s">
        <v>70</v>
      </c>
      <c r="I25" s="90">
        <f>1.73*0.4*180*(27/60+1)</f>
        <v>180.61200000000002</v>
      </c>
      <c r="J25" s="50" t="s">
        <v>224</v>
      </c>
    </row>
    <row r="26" spans="2:10" s="49" customFormat="1" ht="30.75" thickBot="1" x14ac:dyDescent="0.3">
      <c r="B26" s="35">
        <v>18</v>
      </c>
      <c r="C26" s="64" t="s">
        <v>16</v>
      </c>
      <c r="D26" s="74" t="s">
        <v>14</v>
      </c>
      <c r="E26" s="80" t="s">
        <v>62</v>
      </c>
      <c r="F26" s="67" t="s">
        <v>71</v>
      </c>
      <c r="G26" s="46" t="s">
        <v>72</v>
      </c>
      <c r="H26" s="68" t="s">
        <v>73</v>
      </c>
      <c r="I26" s="90">
        <f>1.73*0.4*120*(58/60+0)</f>
        <v>80.272000000000006</v>
      </c>
      <c r="J26" s="53" t="s">
        <v>225</v>
      </c>
    </row>
    <row r="27" spans="2:10" s="49" customFormat="1" ht="30.75" thickBot="1" x14ac:dyDescent="0.3">
      <c r="B27" s="35">
        <v>19</v>
      </c>
      <c r="C27" s="69" t="s">
        <v>16</v>
      </c>
      <c r="D27" s="75" t="s">
        <v>14</v>
      </c>
      <c r="E27" s="76" t="s">
        <v>62</v>
      </c>
      <c r="F27" s="62" t="s">
        <v>71</v>
      </c>
      <c r="G27" s="73" t="s">
        <v>74</v>
      </c>
      <c r="H27" s="55" t="s">
        <v>75</v>
      </c>
      <c r="I27" s="90">
        <f>1.73*0.4*120*(20/60+0)</f>
        <v>27.68</v>
      </c>
      <c r="J27" s="53" t="s">
        <v>225</v>
      </c>
    </row>
    <row r="28" spans="2:10" s="49" customFormat="1" ht="30.75" thickBot="1" x14ac:dyDescent="0.3">
      <c r="B28" s="35">
        <v>20</v>
      </c>
      <c r="C28" s="64" t="s">
        <v>16</v>
      </c>
      <c r="D28" s="74" t="s">
        <v>14</v>
      </c>
      <c r="E28" s="80" t="s">
        <v>34</v>
      </c>
      <c r="F28" s="67" t="s">
        <v>56</v>
      </c>
      <c r="G28" s="46" t="s">
        <v>76</v>
      </c>
      <c r="H28" s="68" t="s">
        <v>77</v>
      </c>
      <c r="I28" s="90">
        <f>1.73*0.4*120*(34/60+1)</f>
        <v>130.096</v>
      </c>
      <c r="J28" s="53" t="s">
        <v>224</v>
      </c>
    </row>
    <row r="29" spans="2:10" s="49" customFormat="1" ht="60.75" thickBot="1" x14ac:dyDescent="0.3">
      <c r="B29" s="35">
        <v>21</v>
      </c>
      <c r="C29" s="69" t="s">
        <v>16</v>
      </c>
      <c r="D29" s="75" t="s">
        <v>14</v>
      </c>
      <c r="E29" s="76" t="s">
        <v>201</v>
      </c>
      <c r="F29" s="62" t="s">
        <v>207</v>
      </c>
      <c r="G29" s="73" t="s">
        <v>78</v>
      </c>
      <c r="H29" s="55" t="s">
        <v>79</v>
      </c>
      <c r="I29" s="90">
        <f t="shared" si="1"/>
        <v>69.2</v>
      </c>
      <c r="J29" s="50" t="s">
        <v>226</v>
      </c>
    </row>
    <row r="30" spans="2:10" s="49" customFormat="1" ht="30.75" thickBot="1" x14ac:dyDescent="0.3">
      <c r="B30" s="35">
        <v>22</v>
      </c>
      <c r="C30" s="64" t="s">
        <v>16</v>
      </c>
      <c r="D30" s="74" t="s">
        <v>14</v>
      </c>
      <c r="E30" s="80" t="s">
        <v>34</v>
      </c>
      <c r="F30" s="67" t="s">
        <v>80</v>
      </c>
      <c r="G30" s="46" t="s">
        <v>81</v>
      </c>
      <c r="H30" s="68" t="s">
        <v>82</v>
      </c>
      <c r="I30" s="90">
        <f>1.73*0.4*120*(43/60+1)</f>
        <v>142.55200000000002</v>
      </c>
      <c r="J30" s="50" t="s">
        <v>227</v>
      </c>
    </row>
    <row r="31" spans="2:10" s="49" customFormat="1" ht="30.75" thickBot="1" x14ac:dyDescent="0.3">
      <c r="B31" s="35">
        <v>23</v>
      </c>
      <c r="C31" s="69" t="s">
        <v>16</v>
      </c>
      <c r="D31" s="75" t="s">
        <v>14</v>
      </c>
      <c r="E31" s="76" t="s">
        <v>196</v>
      </c>
      <c r="F31" s="62" t="s">
        <v>83</v>
      </c>
      <c r="G31" s="73" t="s">
        <v>84</v>
      </c>
      <c r="H31" s="55" t="s">
        <v>85</v>
      </c>
      <c r="I31" s="90">
        <f>1.73*0.4*120*(35/60+1)</f>
        <v>131.48000000000002</v>
      </c>
      <c r="J31" s="50" t="s">
        <v>228</v>
      </c>
    </row>
    <row r="32" spans="2:10" s="49" customFormat="1" ht="30.75" thickBot="1" x14ac:dyDescent="0.3">
      <c r="B32" s="35">
        <v>24</v>
      </c>
      <c r="C32" s="64" t="s">
        <v>16</v>
      </c>
      <c r="D32" s="74" t="s">
        <v>14</v>
      </c>
      <c r="E32" s="80" t="s">
        <v>34</v>
      </c>
      <c r="F32" s="67" t="s">
        <v>198</v>
      </c>
      <c r="G32" s="46" t="s">
        <v>86</v>
      </c>
      <c r="H32" s="68" t="s">
        <v>87</v>
      </c>
      <c r="I32" s="90">
        <f>1.73*0.4*120*(22/60+1)</f>
        <v>113.48800000000001</v>
      </c>
      <c r="J32" s="50" t="s">
        <v>229</v>
      </c>
    </row>
    <row r="33" spans="2:10" s="49" customFormat="1" ht="30.75" thickBot="1" x14ac:dyDescent="0.3">
      <c r="B33" s="35">
        <v>25</v>
      </c>
      <c r="C33" s="69" t="s">
        <v>16</v>
      </c>
      <c r="D33" s="75" t="s">
        <v>14</v>
      </c>
      <c r="E33" s="76" t="s">
        <v>34</v>
      </c>
      <c r="F33" s="62" t="s">
        <v>88</v>
      </c>
      <c r="G33" s="73" t="s">
        <v>89</v>
      </c>
      <c r="H33" s="55" t="s">
        <v>90</v>
      </c>
      <c r="I33" s="90">
        <f>1.73*0.4*120*(16/60+6)</f>
        <v>520.38400000000001</v>
      </c>
      <c r="J33" s="53" t="s">
        <v>231</v>
      </c>
    </row>
    <row r="34" spans="2:10" s="49" customFormat="1" ht="30.75" thickBot="1" x14ac:dyDescent="0.3">
      <c r="B34" s="35">
        <v>26</v>
      </c>
      <c r="C34" s="64" t="s">
        <v>16</v>
      </c>
      <c r="D34" s="74" t="s">
        <v>14</v>
      </c>
      <c r="E34" s="80" t="s">
        <v>62</v>
      </c>
      <c r="F34" s="67" t="s">
        <v>91</v>
      </c>
      <c r="G34" s="46" t="s">
        <v>89</v>
      </c>
      <c r="H34" s="68" t="s">
        <v>92</v>
      </c>
      <c r="I34" s="90">
        <f>1.73*0.4*120*(5/60+1)</f>
        <v>89.96</v>
      </c>
      <c r="J34" s="53" t="s">
        <v>232</v>
      </c>
    </row>
    <row r="35" spans="2:10" s="49" customFormat="1" ht="30.75" thickBot="1" x14ac:dyDescent="0.3">
      <c r="B35" s="35">
        <v>27</v>
      </c>
      <c r="C35" s="69" t="s">
        <v>16</v>
      </c>
      <c r="D35" s="75" t="s">
        <v>14</v>
      </c>
      <c r="E35" s="76" t="s">
        <v>34</v>
      </c>
      <c r="F35" s="62" t="s">
        <v>93</v>
      </c>
      <c r="G35" s="73" t="s">
        <v>94</v>
      </c>
      <c r="H35" s="55" t="s">
        <v>95</v>
      </c>
      <c r="I35" s="90">
        <f>1.73*0.4*120*(25/60+1)</f>
        <v>117.64000000000001</v>
      </c>
      <c r="J35" s="50" t="s">
        <v>234</v>
      </c>
    </row>
    <row r="36" spans="2:10" s="49" customFormat="1" ht="30.75" thickBot="1" x14ac:dyDescent="0.3">
      <c r="B36" s="35">
        <v>28</v>
      </c>
      <c r="C36" s="64" t="s">
        <v>16</v>
      </c>
      <c r="D36" s="74" t="s">
        <v>14</v>
      </c>
      <c r="E36" s="80" t="s">
        <v>34</v>
      </c>
      <c r="F36" s="67" t="s">
        <v>96</v>
      </c>
      <c r="G36" s="46" t="s">
        <v>97</v>
      </c>
      <c r="H36" s="68" t="s">
        <v>98</v>
      </c>
      <c r="I36" s="90">
        <f>1.73*0.4*120*(59/60+2)</f>
        <v>247.73600000000002</v>
      </c>
      <c r="J36" s="53" t="s">
        <v>233</v>
      </c>
    </row>
    <row r="37" spans="2:10" s="49" customFormat="1" ht="30.75" thickBot="1" x14ac:dyDescent="0.3">
      <c r="B37" s="35">
        <v>29</v>
      </c>
      <c r="C37" s="69" t="s">
        <v>16</v>
      </c>
      <c r="D37" s="75" t="s">
        <v>14</v>
      </c>
      <c r="E37" s="76" t="s">
        <v>34</v>
      </c>
      <c r="F37" s="62" t="s">
        <v>56</v>
      </c>
      <c r="G37" s="73" t="s">
        <v>99</v>
      </c>
      <c r="H37" s="55" t="s">
        <v>100</v>
      </c>
      <c r="I37" s="90">
        <f>1.73*0.4*120*(60/60+0)</f>
        <v>83.04</v>
      </c>
      <c r="J37" s="53" t="s">
        <v>224</v>
      </c>
    </row>
    <row r="38" spans="2:10" s="49" customFormat="1" ht="45.75" thickBot="1" x14ac:dyDescent="0.3">
      <c r="B38" s="35">
        <v>30</v>
      </c>
      <c r="C38" s="64" t="s">
        <v>16</v>
      </c>
      <c r="D38" s="74" t="s">
        <v>14</v>
      </c>
      <c r="E38" s="80" t="s">
        <v>34</v>
      </c>
      <c r="F38" s="67" t="s">
        <v>101</v>
      </c>
      <c r="G38" s="46" t="s">
        <v>102</v>
      </c>
      <c r="H38" s="68" t="s">
        <v>103</v>
      </c>
      <c r="I38" s="90">
        <f>1.73*200*10*(17/60+2)</f>
        <v>7900.333333333333</v>
      </c>
      <c r="J38" s="50" t="s">
        <v>236</v>
      </c>
    </row>
    <row r="39" spans="2:10" s="49" customFormat="1" ht="45.75" thickBot="1" x14ac:dyDescent="0.3">
      <c r="B39" s="35">
        <v>31</v>
      </c>
      <c r="C39" s="69" t="s">
        <v>16</v>
      </c>
      <c r="D39" s="75" t="s">
        <v>14</v>
      </c>
      <c r="E39" s="76" t="s">
        <v>34</v>
      </c>
      <c r="F39" s="62" t="s">
        <v>104</v>
      </c>
      <c r="G39" s="73" t="s">
        <v>105</v>
      </c>
      <c r="H39" s="55" t="s">
        <v>106</v>
      </c>
      <c r="I39" s="90">
        <f>1.73*200*10*(2/60+0)</f>
        <v>115.33333333333333</v>
      </c>
      <c r="J39" s="50" t="s">
        <v>235</v>
      </c>
    </row>
    <row r="40" spans="2:10" s="49" customFormat="1" ht="30.75" thickBot="1" x14ac:dyDescent="0.3">
      <c r="B40" s="35">
        <v>32</v>
      </c>
      <c r="C40" s="81" t="s">
        <v>16</v>
      </c>
      <c r="D40" s="82" t="s">
        <v>14</v>
      </c>
      <c r="E40" s="61" t="s">
        <v>239</v>
      </c>
      <c r="F40" s="83" t="s">
        <v>96</v>
      </c>
      <c r="G40" s="63" t="s">
        <v>107</v>
      </c>
      <c r="H40" s="45" t="s">
        <v>238</v>
      </c>
      <c r="I40" s="90">
        <f>1.73*0.4*80*(60/60+0)</f>
        <v>55.360000000000007</v>
      </c>
      <c r="J40" s="50" t="s">
        <v>240</v>
      </c>
    </row>
    <row r="41" spans="2:10" s="49" customFormat="1" ht="30.75" thickBot="1" x14ac:dyDescent="0.3">
      <c r="B41" s="35">
        <v>33</v>
      </c>
      <c r="C41" s="64" t="s">
        <v>16</v>
      </c>
      <c r="D41" s="74" t="s">
        <v>14</v>
      </c>
      <c r="E41" s="80" t="s">
        <v>34</v>
      </c>
      <c r="F41" s="67" t="s">
        <v>108</v>
      </c>
      <c r="G41" s="46" t="s">
        <v>109</v>
      </c>
      <c r="H41" s="68" t="s">
        <v>110</v>
      </c>
      <c r="I41" s="90">
        <f>1.73*0.4*120*(120/60+0)</f>
        <v>166.08</v>
      </c>
      <c r="J41" s="50" t="s">
        <v>241</v>
      </c>
    </row>
    <row r="42" spans="2:10" s="49" customFormat="1" ht="30.75" thickBot="1" x14ac:dyDescent="0.3">
      <c r="B42" s="35">
        <v>34</v>
      </c>
      <c r="C42" s="64" t="s">
        <v>16</v>
      </c>
      <c r="D42" s="74" t="s">
        <v>14</v>
      </c>
      <c r="E42" s="80" t="s">
        <v>111</v>
      </c>
      <c r="F42" s="67" t="s">
        <v>112</v>
      </c>
      <c r="G42" s="46" t="s">
        <v>113</v>
      </c>
      <c r="H42" s="68" t="s">
        <v>114</v>
      </c>
      <c r="I42" s="90">
        <f>1.73*10*10*(35/60+0)</f>
        <v>100.91666666666667</v>
      </c>
      <c r="J42" s="50" t="s">
        <v>237</v>
      </c>
    </row>
    <row r="43" spans="2:10" s="49" customFormat="1" ht="30.75" thickBot="1" x14ac:dyDescent="0.3">
      <c r="B43" s="35">
        <v>35</v>
      </c>
      <c r="C43" s="84" t="s">
        <v>16</v>
      </c>
      <c r="D43" s="85" t="s">
        <v>14</v>
      </c>
      <c r="E43" s="86" t="s">
        <v>115</v>
      </c>
      <c r="F43" s="87" t="s">
        <v>116</v>
      </c>
      <c r="G43" s="88" t="s">
        <v>117</v>
      </c>
      <c r="H43" s="47" t="s">
        <v>118</v>
      </c>
      <c r="I43" s="90">
        <f>1.73*10*10*(52/60+2)</f>
        <v>495.93333333333334</v>
      </c>
      <c r="J43" s="50" t="s">
        <v>242</v>
      </c>
    </row>
    <row r="44" spans="2:10" s="49" customFormat="1" ht="30.75" thickBot="1" x14ac:dyDescent="0.3">
      <c r="B44" s="35">
        <v>36</v>
      </c>
      <c r="C44" s="64" t="s">
        <v>16</v>
      </c>
      <c r="D44" s="74" t="s">
        <v>14</v>
      </c>
      <c r="E44" s="80" t="s">
        <v>115</v>
      </c>
      <c r="F44" s="67" t="s">
        <v>119</v>
      </c>
      <c r="G44" s="46" t="s">
        <v>117</v>
      </c>
      <c r="H44" s="68" t="s">
        <v>120</v>
      </c>
      <c r="I44" s="90">
        <f>1.73*40*10*(17/60+2)</f>
        <v>1580.0666666666666</v>
      </c>
      <c r="J44" s="53" t="s">
        <v>242</v>
      </c>
    </row>
    <row r="45" spans="2:10" s="49" customFormat="1" ht="30.75" thickBot="1" x14ac:dyDescent="0.3">
      <c r="B45" s="35">
        <v>37</v>
      </c>
      <c r="C45" s="69" t="s">
        <v>16</v>
      </c>
      <c r="D45" s="75" t="s">
        <v>14</v>
      </c>
      <c r="E45" s="76" t="s">
        <v>199</v>
      </c>
      <c r="F45" s="62" t="s">
        <v>121</v>
      </c>
      <c r="G45" s="73" t="s">
        <v>122</v>
      </c>
      <c r="H45" s="55" t="s">
        <v>123</v>
      </c>
      <c r="I45" s="90">
        <f>1.73*0.4*260*(32/60+4)</f>
        <v>815.63733333333334</v>
      </c>
      <c r="J45" s="53" t="s">
        <v>244</v>
      </c>
    </row>
    <row r="46" spans="2:10" s="49" customFormat="1" ht="30.75" thickBot="1" x14ac:dyDescent="0.3">
      <c r="B46" s="35">
        <v>38</v>
      </c>
      <c r="C46" s="64" t="s">
        <v>16</v>
      </c>
      <c r="D46" s="74" t="s">
        <v>14</v>
      </c>
      <c r="E46" s="80" t="s">
        <v>62</v>
      </c>
      <c r="F46" s="67" t="s">
        <v>66</v>
      </c>
      <c r="G46" s="46" t="s">
        <v>124</v>
      </c>
      <c r="H46" s="68" t="s">
        <v>125</v>
      </c>
      <c r="I46" s="90">
        <f>1.73*0.4*260*(42/60+4)</f>
        <v>845.62400000000014</v>
      </c>
      <c r="J46" s="53" t="s">
        <v>243</v>
      </c>
    </row>
    <row r="47" spans="2:10" s="49" customFormat="1" ht="30.75" thickBot="1" x14ac:dyDescent="0.3">
      <c r="B47" s="35">
        <v>39</v>
      </c>
      <c r="C47" s="69" t="s">
        <v>16</v>
      </c>
      <c r="D47" s="75" t="s">
        <v>14</v>
      </c>
      <c r="E47" s="76" t="s">
        <v>62</v>
      </c>
      <c r="F47" s="62" t="s">
        <v>126</v>
      </c>
      <c r="G47" s="73" t="s">
        <v>127</v>
      </c>
      <c r="H47" s="55" t="s">
        <v>128</v>
      </c>
      <c r="I47" s="90">
        <f>1.73*0.4*400*(300/60+0)</f>
        <v>1384</v>
      </c>
      <c r="J47" s="50" t="s">
        <v>245</v>
      </c>
    </row>
    <row r="48" spans="2:10" s="49" customFormat="1" ht="30.75" thickBot="1" x14ac:dyDescent="0.3">
      <c r="B48" s="35">
        <v>40</v>
      </c>
      <c r="C48" s="64" t="s">
        <v>16</v>
      </c>
      <c r="D48" s="74" t="s">
        <v>14</v>
      </c>
      <c r="E48" s="80" t="s">
        <v>200</v>
      </c>
      <c r="F48" s="67" t="s">
        <v>206</v>
      </c>
      <c r="G48" s="46" t="s">
        <v>129</v>
      </c>
      <c r="H48" s="68" t="s">
        <v>130</v>
      </c>
      <c r="I48" s="90">
        <v>250</v>
      </c>
      <c r="J48" s="50" t="s">
        <v>246</v>
      </c>
    </row>
    <row r="49" spans="2:10" s="49" customFormat="1" ht="30.75" thickBot="1" x14ac:dyDescent="0.3">
      <c r="B49" s="35">
        <v>41</v>
      </c>
      <c r="C49" s="69" t="s">
        <v>16</v>
      </c>
      <c r="D49" s="75" t="s">
        <v>14</v>
      </c>
      <c r="E49" s="89" t="s">
        <v>62</v>
      </c>
      <c r="F49" s="62" t="s">
        <v>205</v>
      </c>
      <c r="G49" s="73" t="s">
        <v>131</v>
      </c>
      <c r="H49" s="55" t="s">
        <v>132</v>
      </c>
      <c r="I49" s="90">
        <f>1.73*0.4*400*(58/60+2)</f>
        <v>821.1733333333334</v>
      </c>
      <c r="J49" s="50" t="s">
        <v>247</v>
      </c>
    </row>
    <row r="50" spans="2:10" s="49" customFormat="1" ht="30.75" thickBot="1" x14ac:dyDescent="0.3">
      <c r="B50" s="35">
        <v>42</v>
      </c>
      <c r="C50" s="64" t="s">
        <v>16</v>
      </c>
      <c r="D50" s="74" t="s">
        <v>14</v>
      </c>
      <c r="E50" s="52" t="s">
        <v>34</v>
      </c>
      <c r="F50" s="67" t="s">
        <v>56</v>
      </c>
      <c r="G50" s="46" t="s">
        <v>133</v>
      </c>
      <c r="H50" s="68" t="s">
        <v>134</v>
      </c>
      <c r="I50" s="90">
        <f>1.73*0.4*250*(57/60+0)</f>
        <v>164.35000000000002</v>
      </c>
      <c r="J50" s="50" t="s">
        <v>249</v>
      </c>
    </row>
    <row r="51" spans="2:10" s="49" customFormat="1" ht="30.75" thickBot="1" x14ac:dyDescent="0.3">
      <c r="B51" s="35">
        <v>43</v>
      </c>
      <c r="C51" s="69" t="s">
        <v>16</v>
      </c>
      <c r="D51" s="75" t="s">
        <v>14</v>
      </c>
      <c r="E51" s="89" t="s">
        <v>34</v>
      </c>
      <c r="F51" s="62" t="s">
        <v>135</v>
      </c>
      <c r="G51" s="73" t="s">
        <v>136</v>
      </c>
      <c r="H51" s="55" t="s">
        <v>137</v>
      </c>
      <c r="I51" s="90">
        <f>1.73*0.4*120*(57/60+0)</f>
        <v>78.888000000000005</v>
      </c>
      <c r="J51" s="53" t="s">
        <v>250</v>
      </c>
    </row>
    <row r="52" spans="2:10" s="49" customFormat="1" ht="30.75" thickBot="1" x14ac:dyDescent="0.3">
      <c r="B52" s="35">
        <v>44</v>
      </c>
      <c r="C52" s="64" t="s">
        <v>16</v>
      </c>
      <c r="D52" s="74" t="s">
        <v>14</v>
      </c>
      <c r="E52" s="52" t="s">
        <v>34</v>
      </c>
      <c r="F52" s="67" t="s">
        <v>138</v>
      </c>
      <c r="G52" s="46" t="s">
        <v>139</v>
      </c>
      <c r="H52" s="68" t="s">
        <v>140</v>
      </c>
      <c r="I52" s="90">
        <f>1.73*0.4*120*(52/60+0)</f>
        <v>71.968000000000004</v>
      </c>
      <c r="J52" s="50" t="s">
        <v>248</v>
      </c>
    </row>
    <row r="53" spans="2:10" s="49" customFormat="1" ht="30.75" thickBot="1" x14ac:dyDescent="0.3">
      <c r="B53" s="35">
        <v>45</v>
      </c>
      <c r="C53" s="69" t="s">
        <v>16</v>
      </c>
      <c r="D53" s="75" t="s">
        <v>14</v>
      </c>
      <c r="E53" s="89" t="s">
        <v>24</v>
      </c>
      <c r="F53" s="72" t="s">
        <v>141</v>
      </c>
      <c r="G53" s="73" t="s">
        <v>142</v>
      </c>
      <c r="H53" s="55" t="s">
        <v>143</v>
      </c>
      <c r="I53" s="90">
        <f>1.73*0.4*120*(180/60+0)</f>
        <v>249.12</v>
      </c>
      <c r="J53" s="50" t="s">
        <v>251</v>
      </c>
    </row>
    <row r="54" spans="2:10" s="49" customFormat="1" ht="45.75" thickBot="1" x14ac:dyDescent="0.3">
      <c r="B54" s="35">
        <v>46</v>
      </c>
      <c r="C54" s="64" t="s">
        <v>16</v>
      </c>
      <c r="D54" s="74" t="s">
        <v>14</v>
      </c>
      <c r="E54" s="52" t="s">
        <v>34</v>
      </c>
      <c r="F54" s="78" t="s">
        <v>144</v>
      </c>
      <c r="G54" s="46" t="s">
        <v>145</v>
      </c>
      <c r="H54" s="68" t="s">
        <v>146</v>
      </c>
      <c r="I54" s="90">
        <f>1.73*0.4*120*(38/60+2)</f>
        <v>218.67200000000003</v>
      </c>
      <c r="J54" s="54" t="s">
        <v>256</v>
      </c>
    </row>
    <row r="55" spans="2:10" s="49" customFormat="1" ht="30.75" thickBot="1" x14ac:dyDescent="0.3">
      <c r="B55" s="35">
        <v>47</v>
      </c>
      <c r="C55" s="69" t="s">
        <v>16</v>
      </c>
      <c r="D55" s="75" t="s">
        <v>14</v>
      </c>
      <c r="E55" s="89" t="s">
        <v>62</v>
      </c>
      <c r="F55" s="72" t="s">
        <v>126</v>
      </c>
      <c r="G55" s="73" t="s">
        <v>147</v>
      </c>
      <c r="H55" s="55" t="s">
        <v>148</v>
      </c>
      <c r="I55" s="90">
        <f>1.73*0.4*230*(24/60+3)</f>
        <v>541.14400000000012</v>
      </c>
      <c r="J55" s="54" t="s">
        <v>252</v>
      </c>
    </row>
    <row r="56" spans="2:10" s="49" customFormat="1" ht="30.75" thickBot="1" x14ac:dyDescent="0.3">
      <c r="B56" s="35">
        <v>48</v>
      </c>
      <c r="C56" s="64" t="s">
        <v>16</v>
      </c>
      <c r="D56" s="74" t="s">
        <v>14</v>
      </c>
      <c r="E56" s="52" t="s">
        <v>149</v>
      </c>
      <c r="F56" s="78" t="s">
        <v>150</v>
      </c>
      <c r="G56" s="46" t="s">
        <v>151</v>
      </c>
      <c r="H56" s="68" t="s">
        <v>152</v>
      </c>
      <c r="I56" s="90">
        <f>1.73*0.4*120*(32/60+2)</f>
        <v>210.36799999999999</v>
      </c>
      <c r="J56" s="54" t="s">
        <v>253</v>
      </c>
    </row>
    <row r="57" spans="2:10" s="49" customFormat="1" ht="30.75" thickBot="1" x14ac:dyDescent="0.3">
      <c r="B57" s="35">
        <v>49</v>
      </c>
      <c r="C57" s="69" t="s">
        <v>16</v>
      </c>
      <c r="D57" s="75" t="s">
        <v>14</v>
      </c>
      <c r="E57" s="89" t="s">
        <v>204</v>
      </c>
      <c r="F57" s="72" t="s">
        <v>153</v>
      </c>
      <c r="G57" s="73" t="s">
        <v>154</v>
      </c>
      <c r="H57" s="55" t="s">
        <v>155</v>
      </c>
      <c r="I57" s="90">
        <f>1.73*0.4*120*(300/60+0)</f>
        <v>415.20000000000005</v>
      </c>
      <c r="J57" s="54" t="s">
        <v>254</v>
      </c>
    </row>
    <row r="58" spans="2:10" s="49" customFormat="1" ht="30.75" thickBot="1" x14ac:dyDescent="0.3">
      <c r="B58" s="35">
        <v>50</v>
      </c>
      <c r="C58" s="64" t="s">
        <v>16</v>
      </c>
      <c r="D58" s="74" t="s">
        <v>14</v>
      </c>
      <c r="E58" s="52" t="s">
        <v>24</v>
      </c>
      <c r="F58" s="78" t="s">
        <v>141</v>
      </c>
      <c r="G58" s="46" t="s">
        <v>154</v>
      </c>
      <c r="H58" s="68" t="s">
        <v>156</v>
      </c>
      <c r="I58" s="90">
        <f>1.73*0.4*120*(64/60+0)</f>
        <v>88.576000000000008</v>
      </c>
      <c r="J58" s="54" t="s">
        <v>255</v>
      </c>
    </row>
    <row r="59" spans="2:10" s="49" customFormat="1" ht="30.75" thickBot="1" x14ac:dyDescent="0.3">
      <c r="B59" s="35">
        <v>51</v>
      </c>
      <c r="C59" s="69" t="s">
        <v>16</v>
      </c>
      <c r="D59" s="75" t="s">
        <v>14</v>
      </c>
      <c r="E59" s="89" t="s">
        <v>34</v>
      </c>
      <c r="F59" s="72" t="s">
        <v>35</v>
      </c>
      <c r="G59" s="73" t="s">
        <v>157</v>
      </c>
      <c r="H59" s="55" t="s">
        <v>158</v>
      </c>
      <c r="I59" s="90">
        <f>1.73*10*200*(25/60+0)</f>
        <v>1441.6666666666667</v>
      </c>
      <c r="J59" s="50" t="s">
        <v>257</v>
      </c>
    </row>
    <row r="60" spans="2:10" s="49" customFormat="1" ht="30.75" thickBot="1" x14ac:dyDescent="0.3">
      <c r="B60" s="35">
        <v>52</v>
      </c>
      <c r="C60" s="64" t="s">
        <v>16</v>
      </c>
      <c r="D60" s="74" t="s">
        <v>14</v>
      </c>
      <c r="E60" s="52" t="s">
        <v>62</v>
      </c>
      <c r="F60" s="78" t="s">
        <v>159</v>
      </c>
      <c r="G60" s="46" t="s">
        <v>160</v>
      </c>
      <c r="H60" s="68" t="s">
        <v>161</v>
      </c>
      <c r="I60" s="90">
        <f t="shared" ref="I60:I70" si="2">1.73*0.4*120*(50/60+0)</f>
        <v>69.2</v>
      </c>
      <c r="J60" s="54" t="s">
        <v>258</v>
      </c>
    </row>
    <row r="61" spans="2:10" s="49" customFormat="1" ht="30.75" thickBot="1" x14ac:dyDescent="0.3">
      <c r="B61" s="35">
        <v>53</v>
      </c>
      <c r="C61" s="69" t="s">
        <v>16</v>
      </c>
      <c r="D61" s="75" t="s">
        <v>14</v>
      </c>
      <c r="E61" s="89" t="s">
        <v>62</v>
      </c>
      <c r="F61" s="72" t="s">
        <v>162</v>
      </c>
      <c r="G61" s="73" t="s">
        <v>163</v>
      </c>
      <c r="H61" s="55" t="s">
        <v>164</v>
      </c>
      <c r="I61" s="90">
        <f>1.73*0.4*220*(195/60+0)</f>
        <v>494.78000000000003</v>
      </c>
      <c r="J61" s="54" t="s">
        <v>259</v>
      </c>
    </row>
    <row r="62" spans="2:10" s="49" customFormat="1" ht="30.75" thickBot="1" x14ac:dyDescent="0.3">
      <c r="B62" s="35">
        <v>54</v>
      </c>
      <c r="C62" s="64" t="s">
        <v>16</v>
      </c>
      <c r="D62" s="74" t="s">
        <v>14</v>
      </c>
      <c r="E62" s="52" t="s">
        <v>200</v>
      </c>
      <c r="F62" s="78" t="s">
        <v>165</v>
      </c>
      <c r="G62" s="46" t="s">
        <v>166</v>
      </c>
      <c r="H62" s="68" t="s">
        <v>167</v>
      </c>
      <c r="I62" s="90">
        <f>1.73*0.4*520*(55/60+6)</f>
        <v>2488.8933333333339</v>
      </c>
      <c r="J62" s="50" t="s">
        <v>262</v>
      </c>
    </row>
    <row r="63" spans="2:10" s="49" customFormat="1" ht="30.75" thickBot="1" x14ac:dyDescent="0.3">
      <c r="B63" s="35">
        <v>55</v>
      </c>
      <c r="C63" s="69" t="s">
        <v>16</v>
      </c>
      <c r="D63" s="75" t="s">
        <v>14</v>
      </c>
      <c r="E63" s="89" t="s">
        <v>34</v>
      </c>
      <c r="F63" s="72" t="s">
        <v>80</v>
      </c>
      <c r="G63" s="73" t="s">
        <v>168</v>
      </c>
      <c r="H63" s="55" t="s">
        <v>169</v>
      </c>
      <c r="I63" s="90">
        <f>1.73*0.4*120*(58/60+0)</f>
        <v>80.272000000000006</v>
      </c>
      <c r="J63" s="54" t="s">
        <v>260</v>
      </c>
    </row>
    <row r="64" spans="2:10" s="49" customFormat="1" ht="30.75" thickBot="1" x14ac:dyDescent="0.3">
      <c r="B64" s="35">
        <v>56</v>
      </c>
      <c r="C64" s="64" t="s">
        <v>16</v>
      </c>
      <c r="D64" s="74" t="s">
        <v>14</v>
      </c>
      <c r="E64" s="52" t="s">
        <v>62</v>
      </c>
      <c r="F64" s="78" t="s">
        <v>126</v>
      </c>
      <c r="G64" s="46" t="s">
        <v>170</v>
      </c>
      <c r="H64" s="68" t="s">
        <v>171</v>
      </c>
      <c r="I64" s="90">
        <f>1.73*0.4*120*(42/60+4)</f>
        <v>390.28800000000007</v>
      </c>
      <c r="J64" s="50" t="s">
        <v>263</v>
      </c>
    </row>
    <row r="65" spans="2:10" s="49" customFormat="1" ht="30.75" thickBot="1" x14ac:dyDescent="0.3">
      <c r="B65" s="35">
        <v>57</v>
      </c>
      <c r="C65" s="69" t="s">
        <v>16</v>
      </c>
      <c r="D65" s="75" t="s">
        <v>14</v>
      </c>
      <c r="E65" s="89" t="s">
        <v>197</v>
      </c>
      <c r="F65" s="72" t="s">
        <v>56</v>
      </c>
      <c r="G65" s="73" t="s">
        <v>172</v>
      </c>
      <c r="H65" s="55" t="s">
        <v>173</v>
      </c>
      <c r="I65" s="90">
        <f>1.73*0.4*120*(14/60+1)</f>
        <v>102.41600000000001</v>
      </c>
      <c r="J65" s="50" t="s">
        <v>264</v>
      </c>
    </row>
    <row r="66" spans="2:10" s="49" customFormat="1" ht="30.75" thickBot="1" x14ac:dyDescent="0.3">
      <c r="B66" s="35">
        <v>58</v>
      </c>
      <c r="C66" s="64" t="s">
        <v>16</v>
      </c>
      <c r="D66" s="74" t="s">
        <v>14</v>
      </c>
      <c r="E66" s="52" t="s">
        <v>174</v>
      </c>
      <c r="F66" s="78" t="s">
        <v>175</v>
      </c>
      <c r="G66" s="46" t="s">
        <v>176</v>
      </c>
      <c r="H66" s="68" t="s">
        <v>177</v>
      </c>
      <c r="I66" s="90">
        <f>1.73*0.4*120*(27/60+3)</f>
        <v>286.48800000000006</v>
      </c>
      <c r="J66" s="54" t="s">
        <v>261</v>
      </c>
    </row>
    <row r="67" spans="2:10" s="48" customFormat="1" ht="30.75" thickBot="1" x14ac:dyDescent="0.3">
      <c r="B67" s="35">
        <v>59</v>
      </c>
      <c r="C67" s="69" t="s">
        <v>16</v>
      </c>
      <c r="D67" s="75" t="s">
        <v>14</v>
      </c>
      <c r="E67" s="89" t="s">
        <v>34</v>
      </c>
      <c r="F67" s="72" t="s">
        <v>178</v>
      </c>
      <c r="G67" s="73" t="s">
        <v>179</v>
      </c>
      <c r="H67" s="55" t="s">
        <v>180</v>
      </c>
      <c r="I67" s="90">
        <f>1.73*0.4*420*(60/60+0)</f>
        <v>290.64000000000004</v>
      </c>
      <c r="J67" s="54" t="s">
        <v>260</v>
      </c>
    </row>
    <row r="68" spans="2:10" s="48" customFormat="1" ht="30.75" thickBot="1" x14ac:dyDescent="0.3">
      <c r="B68" s="35">
        <v>60</v>
      </c>
      <c r="C68" s="64" t="s">
        <v>16</v>
      </c>
      <c r="D68" s="74" t="s">
        <v>14</v>
      </c>
      <c r="E68" s="52" t="s">
        <v>200</v>
      </c>
      <c r="F68" s="58" t="s">
        <v>181</v>
      </c>
      <c r="G68" s="46" t="s">
        <v>182</v>
      </c>
      <c r="H68" s="68" t="s">
        <v>183</v>
      </c>
      <c r="I68" s="90">
        <f>1.73*0.4*120*(49/60+1)</f>
        <v>150.85600000000002</v>
      </c>
      <c r="J68" s="54" t="s">
        <v>265</v>
      </c>
    </row>
    <row r="69" spans="2:10" s="48" customFormat="1" ht="30.75" thickBot="1" x14ac:dyDescent="0.3">
      <c r="B69" s="35">
        <v>61</v>
      </c>
      <c r="C69" s="69" t="s">
        <v>16</v>
      </c>
      <c r="D69" s="75" t="s">
        <v>14</v>
      </c>
      <c r="E69" s="89" t="s">
        <v>62</v>
      </c>
      <c r="F69" s="10" t="s">
        <v>184</v>
      </c>
      <c r="G69" s="73" t="s">
        <v>185</v>
      </c>
      <c r="H69" s="55" t="s">
        <v>186</v>
      </c>
      <c r="I69" s="90">
        <f>1.73*0.4*120*(17/60+1)</f>
        <v>106.568</v>
      </c>
      <c r="J69" s="54" t="s">
        <v>260</v>
      </c>
    </row>
    <row r="70" spans="2:10" s="48" customFormat="1" ht="30.75" thickBot="1" x14ac:dyDescent="0.3">
      <c r="B70" s="35">
        <v>62</v>
      </c>
      <c r="C70" s="64" t="s">
        <v>16</v>
      </c>
      <c r="D70" s="74" t="s">
        <v>14</v>
      </c>
      <c r="E70" s="52" t="s">
        <v>208</v>
      </c>
      <c r="F70" s="58" t="s">
        <v>187</v>
      </c>
      <c r="G70" s="46" t="s">
        <v>188</v>
      </c>
      <c r="H70" s="59" t="s">
        <v>189</v>
      </c>
      <c r="I70" s="90">
        <f>1.73*0.4*120*(15/60+1)</f>
        <v>103.80000000000001</v>
      </c>
      <c r="J70" s="54" t="s">
        <v>260</v>
      </c>
    </row>
    <row r="71" spans="2:10" s="48" customFormat="1" ht="30.75" thickBot="1" x14ac:dyDescent="0.3">
      <c r="B71" s="35">
        <v>63</v>
      </c>
      <c r="C71" s="69" t="s">
        <v>16</v>
      </c>
      <c r="D71" s="75" t="s">
        <v>14</v>
      </c>
      <c r="E71" s="34" t="s">
        <v>62</v>
      </c>
      <c r="F71" s="10" t="s">
        <v>190</v>
      </c>
      <c r="G71" s="73" t="s">
        <v>191</v>
      </c>
      <c r="H71" s="55" t="s">
        <v>192</v>
      </c>
      <c r="I71" s="90">
        <f>1.73*0.4*200*(13/60+2)</f>
        <v>306.78666666666669</v>
      </c>
      <c r="J71" s="54" t="s">
        <v>260</v>
      </c>
    </row>
    <row r="72" spans="2:10" s="10" customFormat="1" ht="30.75" thickBot="1" x14ac:dyDescent="0.3">
      <c r="B72" s="56">
        <v>64</v>
      </c>
      <c r="C72" s="15" t="s">
        <v>16</v>
      </c>
      <c r="D72" s="57" t="s">
        <v>14</v>
      </c>
      <c r="E72" s="52" t="s">
        <v>62</v>
      </c>
      <c r="F72" s="58" t="s">
        <v>190</v>
      </c>
      <c r="G72" s="46" t="s">
        <v>193</v>
      </c>
      <c r="H72" s="59" t="s">
        <v>194</v>
      </c>
      <c r="I72" s="18">
        <f>1.73*0.4*200*(40/60+0)</f>
        <v>92.266666666666666</v>
      </c>
      <c r="J72" s="92" t="s">
        <v>260</v>
      </c>
    </row>
    <row r="73" spans="2:10" ht="22.5" customHeight="1" thickBot="1" x14ac:dyDescent="0.3">
      <c r="H73" s="20" t="s">
        <v>9</v>
      </c>
      <c r="I73" s="21">
        <f>SUM(I9:I72)</f>
        <v>37448.114000000001</v>
      </c>
      <c r="J73" s="10"/>
    </row>
  </sheetData>
  <mergeCells count="13">
    <mergeCell ref="I2:J2"/>
    <mergeCell ref="I3:J3"/>
    <mergeCell ref="B4:J4"/>
    <mergeCell ref="E5:G5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D33" sqref="D33"/>
    </sheetView>
  </sheetViews>
  <sheetFormatPr defaultColWidth="9.140625" defaultRowHeight="15" x14ac:dyDescent="0.25"/>
  <cols>
    <col min="1" max="1" width="5.5703125" style="9" customWidth="1"/>
    <col min="2" max="2" width="13.7109375" style="9" customWidth="1"/>
    <col min="3" max="3" width="15.5703125" style="9" customWidth="1"/>
    <col min="4" max="4" width="21.85546875" style="9" customWidth="1"/>
    <col min="5" max="5" width="25.140625" style="9" customWidth="1"/>
    <col min="6" max="6" width="17" style="9" customWidth="1"/>
    <col min="7" max="7" width="16.85546875" style="9" customWidth="1"/>
    <col min="8" max="8" width="17.7109375" style="9" customWidth="1"/>
    <col min="9" max="9" width="27.28515625" style="9" customWidth="1"/>
    <col min="10" max="10" width="17.7109375" style="9" customWidth="1"/>
    <col min="11" max="11" width="17.140625" style="9" customWidth="1"/>
    <col min="12" max="12" width="17" style="9" customWidth="1"/>
    <col min="13" max="13" width="16.5703125" style="9" customWidth="1"/>
    <col min="14" max="14" width="60.85546875" style="9" customWidth="1"/>
    <col min="15" max="15" width="15.5703125" style="9" customWidth="1"/>
    <col min="16" max="16384" width="9.140625" style="9"/>
  </cols>
  <sheetData>
    <row r="1" spans="1:15" x14ac:dyDescent="0.25">
      <c r="H1" s="93"/>
      <c r="I1" s="93"/>
    </row>
    <row r="2" spans="1:15" ht="12.75" customHeight="1" x14ac:dyDescent="0.25">
      <c r="H2" s="93"/>
      <c r="I2" s="93"/>
    </row>
    <row r="3" spans="1:15" ht="42.75" customHeight="1" x14ac:dyDescent="0.25">
      <c r="A3" s="94" t="s">
        <v>10</v>
      </c>
      <c r="B3" s="94"/>
      <c r="C3" s="94"/>
      <c r="D3" s="94"/>
      <c r="E3" s="94"/>
      <c r="F3" s="94"/>
      <c r="G3" s="94"/>
      <c r="H3" s="94"/>
      <c r="I3" s="94"/>
      <c r="J3" s="2"/>
      <c r="K3" s="2"/>
      <c r="L3" s="2"/>
      <c r="M3" s="2"/>
      <c r="N3" s="2"/>
      <c r="O3" s="2"/>
    </row>
    <row r="4" spans="1:15" ht="21.75" customHeight="1" x14ac:dyDescent="0.25">
      <c r="A4" s="8"/>
      <c r="B4" s="8"/>
      <c r="C4" s="8"/>
      <c r="D4" s="94" t="s">
        <v>11</v>
      </c>
      <c r="E4" s="94"/>
      <c r="F4" s="94"/>
      <c r="G4" s="8"/>
      <c r="H4" s="8"/>
      <c r="I4" s="8"/>
      <c r="J4" s="2"/>
      <c r="K4" s="2"/>
      <c r="L4" s="2"/>
      <c r="M4" s="2"/>
      <c r="N4" s="2"/>
      <c r="O4" s="2"/>
    </row>
    <row r="5" spans="1:15" ht="15.75" customHeight="1" thickBot="1" x14ac:dyDescent="0.3"/>
    <row r="6" spans="1:15" ht="15.75" customHeight="1" thickBot="1" x14ac:dyDescent="0.3">
      <c r="A6" s="95" t="s">
        <v>4</v>
      </c>
      <c r="B6" s="95" t="s">
        <v>0</v>
      </c>
      <c r="C6" s="95" t="s">
        <v>1</v>
      </c>
      <c r="D6" s="95" t="s">
        <v>2</v>
      </c>
      <c r="E6" s="95" t="s">
        <v>3</v>
      </c>
      <c r="F6" s="95" t="s">
        <v>5</v>
      </c>
      <c r="G6" s="95" t="s">
        <v>6</v>
      </c>
      <c r="H6" s="95" t="s">
        <v>8</v>
      </c>
      <c r="I6" s="95" t="s">
        <v>7</v>
      </c>
    </row>
    <row r="7" spans="1:15" ht="51.75" customHeight="1" thickBot="1" x14ac:dyDescent="0.3">
      <c r="A7" s="95"/>
      <c r="B7" s="95"/>
      <c r="C7" s="95"/>
      <c r="D7" s="95"/>
      <c r="E7" s="95"/>
      <c r="F7" s="95"/>
      <c r="G7" s="95"/>
      <c r="H7" s="96"/>
      <c r="I7" s="96"/>
    </row>
    <row r="8" spans="1:15" s="22" customFormat="1" ht="33" customHeight="1" thickBot="1" x14ac:dyDescent="0.3">
      <c r="A8" s="23">
        <v>1</v>
      </c>
      <c r="B8" s="38"/>
      <c r="C8" s="39"/>
      <c r="D8" s="32"/>
      <c r="E8" s="17"/>
      <c r="F8" s="29"/>
      <c r="G8" s="17"/>
      <c r="H8" s="26"/>
      <c r="I8" s="37"/>
    </row>
    <row r="9" spans="1:15" s="36" customFormat="1" ht="33" customHeight="1" thickBot="1" x14ac:dyDescent="0.3">
      <c r="A9" s="37">
        <f>A8+1</f>
        <v>2</v>
      </c>
      <c r="B9" s="38"/>
      <c r="C9" s="39"/>
      <c r="D9" s="40"/>
      <c r="E9" s="17"/>
      <c r="F9" s="29"/>
      <c r="G9" s="42"/>
      <c r="H9" s="33"/>
      <c r="I9" s="37"/>
    </row>
    <row r="10" spans="1:15" s="28" customFormat="1" ht="33" customHeight="1" thickBot="1" x14ac:dyDescent="0.3">
      <c r="A10" s="37">
        <f>A9+1</f>
        <v>3</v>
      </c>
      <c r="B10" s="37"/>
      <c r="C10" s="13"/>
      <c r="D10" s="41"/>
      <c r="E10" s="30"/>
      <c r="F10" s="17"/>
      <c r="G10" s="31"/>
      <c r="H10" s="33"/>
      <c r="I10" s="37"/>
    </row>
    <row r="11" spans="1:15" ht="19.5" thickBot="1" x14ac:dyDescent="0.3">
      <c r="G11" s="3" t="s">
        <v>9</v>
      </c>
      <c r="H11" s="4">
        <f>SUM(H8:H10)</f>
        <v>0</v>
      </c>
      <c r="I11" s="10"/>
    </row>
  </sheetData>
  <mergeCells count="13">
    <mergeCell ref="H1:I1"/>
    <mergeCell ref="H2:I2"/>
    <mergeCell ref="A3:I3"/>
    <mergeCell ref="D4:F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workbookViewId="0">
      <selection activeCell="D17" sqref="D17"/>
    </sheetView>
  </sheetViews>
  <sheetFormatPr defaultColWidth="9.140625" defaultRowHeight="15" x14ac:dyDescent="0.25"/>
  <cols>
    <col min="1" max="1" width="5.5703125" style="1" customWidth="1"/>
    <col min="2" max="2" width="13.7109375" style="1" customWidth="1"/>
    <col min="3" max="3" width="15.5703125" style="1" customWidth="1"/>
    <col min="4" max="4" width="21.85546875" style="1" customWidth="1"/>
    <col min="5" max="5" width="25.85546875" style="1" customWidth="1"/>
    <col min="6" max="6" width="17" style="1" customWidth="1"/>
    <col min="7" max="7" width="16.85546875" style="1" customWidth="1"/>
    <col min="8" max="8" width="17.7109375" style="1" customWidth="1"/>
    <col min="9" max="9" width="27.28515625" style="1" customWidth="1"/>
    <col min="10" max="10" width="17.7109375" style="1" customWidth="1"/>
    <col min="11" max="11" width="17.140625" style="1" customWidth="1"/>
    <col min="12" max="12" width="17" style="1" customWidth="1"/>
    <col min="13" max="13" width="16.5703125" style="1" customWidth="1"/>
    <col min="14" max="14" width="60.85546875" style="1" customWidth="1"/>
    <col min="15" max="15" width="15.5703125" style="1" customWidth="1"/>
    <col min="16" max="16384" width="9.140625" style="1"/>
  </cols>
  <sheetData>
    <row r="1" spans="1:15" x14ac:dyDescent="0.25">
      <c r="H1" s="93"/>
      <c r="I1" s="93"/>
    </row>
    <row r="2" spans="1:15" ht="12.75" customHeight="1" x14ac:dyDescent="0.25">
      <c r="H2" s="93"/>
      <c r="I2" s="93"/>
    </row>
    <row r="3" spans="1:15" ht="42.75" customHeight="1" x14ac:dyDescent="0.25">
      <c r="A3" s="94" t="s">
        <v>10</v>
      </c>
      <c r="B3" s="94"/>
      <c r="C3" s="94"/>
      <c r="D3" s="94"/>
      <c r="E3" s="94"/>
      <c r="F3" s="94"/>
      <c r="G3" s="94"/>
      <c r="H3" s="94"/>
      <c r="I3" s="94"/>
      <c r="J3" s="2"/>
      <c r="K3" s="2"/>
      <c r="L3" s="2"/>
      <c r="M3" s="2"/>
      <c r="N3" s="2"/>
      <c r="O3" s="2"/>
    </row>
    <row r="4" spans="1:15" s="6" customFormat="1" ht="21.75" customHeight="1" x14ac:dyDescent="0.25">
      <c r="A4" s="5"/>
      <c r="B4" s="5"/>
      <c r="C4" s="5"/>
      <c r="D4" s="94" t="s">
        <v>12</v>
      </c>
      <c r="E4" s="94"/>
      <c r="F4" s="94"/>
      <c r="G4" s="5"/>
      <c r="H4" s="5"/>
      <c r="I4" s="5"/>
      <c r="J4" s="2"/>
      <c r="K4" s="2"/>
      <c r="L4" s="2"/>
      <c r="M4" s="2"/>
      <c r="N4" s="2"/>
      <c r="O4" s="2"/>
    </row>
    <row r="5" spans="1:15" ht="15.75" customHeight="1" thickBot="1" x14ac:dyDescent="0.3"/>
    <row r="6" spans="1:15" ht="15.75" customHeight="1" thickBot="1" x14ac:dyDescent="0.3">
      <c r="A6" s="95" t="s">
        <v>4</v>
      </c>
      <c r="B6" s="95" t="s">
        <v>0</v>
      </c>
      <c r="C6" s="95" t="s">
        <v>1</v>
      </c>
      <c r="D6" s="95" t="s">
        <v>2</v>
      </c>
      <c r="E6" s="95" t="s">
        <v>3</v>
      </c>
      <c r="F6" s="95" t="s">
        <v>5</v>
      </c>
      <c r="G6" s="95" t="s">
        <v>6</v>
      </c>
      <c r="H6" s="95" t="s">
        <v>8</v>
      </c>
      <c r="I6" s="95" t="s">
        <v>7</v>
      </c>
    </row>
    <row r="7" spans="1:15" ht="51.75" customHeight="1" thickBot="1" x14ac:dyDescent="0.3">
      <c r="A7" s="95"/>
      <c r="B7" s="95"/>
      <c r="C7" s="95"/>
      <c r="D7" s="95"/>
      <c r="E7" s="95"/>
      <c r="F7" s="95"/>
      <c r="G7" s="95"/>
      <c r="H7" s="96"/>
      <c r="I7" s="96"/>
    </row>
    <row r="8" spans="1:15" s="36" customFormat="1" ht="33" customHeight="1" thickBot="1" x14ac:dyDescent="0.3">
      <c r="A8" s="37">
        <v>1</v>
      </c>
      <c r="B8" s="37"/>
      <c r="C8" s="37"/>
      <c r="D8" s="37"/>
      <c r="E8" s="37"/>
      <c r="F8" s="37"/>
      <c r="G8" s="37"/>
      <c r="H8" s="38"/>
      <c r="I8" s="38"/>
    </row>
    <row r="9" spans="1:15" s="36" customFormat="1" ht="30.75" customHeight="1" thickBot="1" x14ac:dyDescent="0.3">
      <c r="A9" s="37">
        <f>A8+1</f>
        <v>2</v>
      </c>
      <c r="B9" s="37"/>
      <c r="C9" s="37"/>
      <c r="D9" s="37"/>
      <c r="E9" s="37"/>
      <c r="F9" s="37"/>
      <c r="G9" s="37"/>
      <c r="H9" s="38"/>
      <c r="I9" s="38"/>
    </row>
    <row r="10" spans="1:15" ht="35.25" customHeight="1" thickBot="1" x14ac:dyDescent="0.3">
      <c r="A10" s="37">
        <f>A9+1</f>
        <v>3</v>
      </c>
      <c r="B10" s="27"/>
      <c r="C10" s="13"/>
      <c r="D10" s="13"/>
      <c r="E10" s="7"/>
      <c r="F10" s="7"/>
      <c r="G10" s="7"/>
      <c r="H10" s="26"/>
      <c r="I10" s="27"/>
    </row>
    <row r="11" spans="1:15" ht="19.5" thickBot="1" x14ac:dyDescent="0.3">
      <c r="G11" s="3" t="s">
        <v>9</v>
      </c>
      <c r="H11" s="4">
        <f>SUM(H10:H10)</f>
        <v>0</v>
      </c>
    </row>
  </sheetData>
  <mergeCells count="13">
    <mergeCell ref="H1:I1"/>
    <mergeCell ref="H2:I2"/>
    <mergeCell ref="D6:D7"/>
    <mergeCell ref="C6:C7"/>
    <mergeCell ref="B6:B7"/>
    <mergeCell ref="A6:A7"/>
    <mergeCell ref="A3:I3"/>
    <mergeCell ref="H6:H7"/>
    <mergeCell ref="I6:I7"/>
    <mergeCell ref="G6:G7"/>
    <mergeCell ref="F6:F7"/>
    <mergeCell ref="E6:E7"/>
    <mergeCell ref="D4:F4"/>
  </mergeCells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H15" sqref="H15"/>
    </sheetView>
  </sheetViews>
  <sheetFormatPr defaultColWidth="9.140625" defaultRowHeight="15" x14ac:dyDescent="0.25"/>
  <cols>
    <col min="1" max="1" width="5.5703125" style="11" customWidth="1"/>
    <col min="2" max="2" width="13.7109375" style="11" customWidth="1"/>
    <col min="3" max="3" width="15.5703125" style="11" customWidth="1"/>
    <col min="4" max="4" width="21.85546875" style="11" customWidth="1"/>
    <col min="5" max="5" width="25.140625" style="11" customWidth="1"/>
    <col min="6" max="6" width="17" style="11" customWidth="1"/>
    <col min="7" max="7" width="16.85546875" style="11" customWidth="1"/>
    <col min="8" max="8" width="17.7109375" style="11" customWidth="1"/>
    <col min="9" max="9" width="27.28515625" style="11" customWidth="1"/>
    <col min="10" max="10" width="17.7109375" style="11" customWidth="1"/>
    <col min="11" max="11" width="17.140625" style="11" customWidth="1"/>
    <col min="12" max="12" width="17" style="11" customWidth="1"/>
    <col min="13" max="13" width="16.5703125" style="11" customWidth="1"/>
    <col min="14" max="14" width="60.85546875" style="11" customWidth="1"/>
    <col min="15" max="15" width="15.5703125" style="11" customWidth="1"/>
    <col min="16" max="16384" width="9.140625" style="11"/>
  </cols>
  <sheetData>
    <row r="1" spans="1:15" x14ac:dyDescent="0.25">
      <c r="H1" s="93"/>
      <c r="I1" s="93"/>
    </row>
    <row r="2" spans="1:15" ht="12.75" customHeight="1" x14ac:dyDescent="0.25">
      <c r="H2" s="93"/>
      <c r="I2" s="93"/>
    </row>
    <row r="3" spans="1:15" ht="42.75" customHeight="1" x14ac:dyDescent="0.25">
      <c r="A3" s="94" t="s">
        <v>10</v>
      </c>
      <c r="B3" s="94"/>
      <c r="C3" s="94"/>
      <c r="D3" s="94"/>
      <c r="E3" s="94"/>
      <c r="F3" s="94"/>
      <c r="G3" s="94"/>
      <c r="H3" s="94"/>
      <c r="I3" s="94"/>
      <c r="J3" s="2"/>
      <c r="K3" s="2"/>
      <c r="L3" s="2"/>
      <c r="M3" s="2"/>
      <c r="N3" s="2"/>
      <c r="O3" s="2"/>
    </row>
    <row r="4" spans="1:15" ht="21.75" customHeight="1" x14ac:dyDescent="0.25">
      <c r="A4" s="12"/>
      <c r="B4" s="12"/>
      <c r="C4" s="12"/>
      <c r="D4" s="94" t="s">
        <v>13</v>
      </c>
      <c r="E4" s="94"/>
      <c r="F4" s="94"/>
      <c r="G4" s="12"/>
      <c r="H4" s="12"/>
      <c r="I4" s="12"/>
      <c r="J4" s="2"/>
      <c r="K4" s="2"/>
      <c r="L4" s="2"/>
      <c r="M4" s="2"/>
      <c r="N4" s="2"/>
      <c r="O4" s="2"/>
    </row>
    <row r="5" spans="1:15" ht="15.75" customHeight="1" thickBot="1" x14ac:dyDescent="0.3"/>
    <row r="6" spans="1:15" ht="15.75" customHeight="1" thickBot="1" x14ac:dyDescent="0.3">
      <c r="A6" s="95" t="s">
        <v>4</v>
      </c>
      <c r="B6" s="95" t="s">
        <v>0</v>
      </c>
      <c r="C6" s="95" t="s">
        <v>1</v>
      </c>
      <c r="D6" s="95" t="s">
        <v>2</v>
      </c>
      <c r="E6" s="95" t="s">
        <v>3</v>
      </c>
      <c r="F6" s="95" t="s">
        <v>5</v>
      </c>
      <c r="G6" s="95" t="s">
        <v>6</v>
      </c>
      <c r="H6" s="95" t="s">
        <v>8</v>
      </c>
      <c r="I6" s="95" t="s">
        <v>7</v>
      </c>
    </row>
    <row r="7" spans="1:15" ht="51.75" customHeight="1" thickBot="1" x14ac:dyDescent="0.3">
      <c r="A7" s="95"/>
      <c r="B7" s="95"/>
      <c r="C7" s="95"/>
      <c r="D7" s="95"/>
      <c r="E7" s="96"/>
      <c r="F7" s="96"/>
      <c r="G7" s="96"/>
      <c r="H7" s="96"/>
      <c r="I7" s="96"/>
    </row>
    <row r="8" spans="1:15" ht="33.75" customHeight="1" thickBot="1" x14ac:dyDescent="0.3">
      <c r="A8" s="14">
        <v>1</v>
      </c>
      <c r="B8" s="16"/>
      <c r="C8" s="19"/>
      <c r="D8" s="19"/>
      <c r="E8" s="15"/>
      <c r="F8" s="17"/>
      <c r="G8" s="17"/>
      <c r="H8" s="18"/>
      <c r="I8" s="15"/>
    </row>
    <row r="9" spans="1:15" s="24" customFormat="1" ht="31.5" customHeight="1" thickBot="1" x14ac:dyDescent="0.3">
      <c r="A9" s="25">
        <f>A8+1</f>
        <v>2</v>
      </c>
      <c r="B9" s="19"/>
      <c r="C9" s="19"/>
      <c r="D9" s="19"/>
      <c r="E9" s="15"/>
      <c r="F9" s="17"/>
      <c r="G9" s="17"/>
      <c r="H9" s="26"/>
      <c r="I9" s="15"/>
    </row>
    <row r="10" spans="1:15" s="24" customFormat="1" ht="41.25" customHeight="1" thickBot="1" x14ac:dyDescent="0.3">
      <c r="A10" s="25">
        <f t="shared" ref="A10" si="0">A9+1</f>
        <v>3</v>
      </c>
      <c r="B10" s="19"/>
      <c r="C10" s="19"/>
      <c r="D10" s="19"/>
      <c r="E10" s="15"/>
      <c r="F10" s="17"/>
      <c r="G10" s="17"/>
      <c r="H10" s="18"/>
      <c r="I10" s="15"/>
    </row>
    <row r="11" spans="1:15" ht="22.5" customHeight="1" thickBot="1" x14ac:dyDescent="0.3">
      <c r="G11" s="20" t="s">
        <v>9</v>
      </c>
      <c r="H11" s="21">
        <f>SUM(H8:H10)</f>
        <v>0</v>
      </c>
      <c r="I11" s="10"/>
    </row>
  </sheetData>
  <mergeCells count="13">
    <mergeCell ref="G6:G7"/>
    <mergeCell ref="H6:H7"/>
    <mergeCell ref="I6:I7"/>
    <mergeCell ref="H1:I1"/>
    <mergeCell ref="H2:I2"/>
    <mergeCell ref="A3:I3"/>
    <mergeCell ref="D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Декабрь 2021</vt:lpstr>
      <vt:lpstr>2 квартал 2020</vt:lpstr>
      <vt:lpstr>3 квартал 2020</vt:lpstr>
      <vt:lpstr>4 квартал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2022-03-05T10:14:40Z</dcterms:modified>
</cp:coreProperties>
</file>